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bookViews>
    <workbookView xWindow="0" yWindow="0" windowWidth="28800" windowHeight="10080"/>
  </bookViews>
  <sheets>
    <sheet name="PIGOO 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Cua1">#REF!</definedName>
    <definedName name="aa">#REF!</definedName>
    <definedName name="Admin.">'[2]Gastos de Admin.'!#REF!</definedName>
    <definedName name="Admin2">'[3]Gastos de Admin.'!$H$234</definedName>
    <definedName name="_xlnm.Extract">#REF!</definedName>
    <definedName name="Comerc.">#REF!</definedName>
    <definedName name="Cua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Rubro">[4]!Tabla5[#Data]</definedName>
    <definedName name="_xlnm.Print_Titles" localSheetId="0">'PIGOO 2023'!$9:$9</definedName>
    <definedName name="Tot.Gastos">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2" i="1" l="1"/>
  <c r="L172" i="1"/>
  <c r="K172" i="1"/>
  <c r="J172" i="1"/>
  <c r="I172" i="1"/>
  <c r="H172" i="1"/>
  <c r="G172" i="1"/>
  <c r="E172" i="1"/>
  <c r="M171" i="1"/>
  <c r="M152" i="1" s="1"/>
  <c r="L171" i="1"/>
  <c r="L152" i="1" s="1"/>
  <c r="K171" i="1"/>
  <c r="J171" i="1"/>
  <c r="I171" i="1"/>
  <c r="H171" i="1"/>
  <c r="G171" i="1"/>
  <c r="E171" i="1"/>
  <c r="E152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J155" i="1" s="1"/>
  <c r="I156" i="1"/>
  <c r="I155" i="1" s="1"/>
  <c r="H156" i="1"/>
  <c r="G156" i="1"/>
  <c r="F156" i="1"/>
  <c r="E156" i="1"/>
  <c r="D156" i="1"/>
  <c r="C156" i="1"/>
  <c r="B156" i="1"/>
  <c r="M155" i="1"/>
  <c r="L155" i="1"/>
  <c r="K155" i="1"/>
  <c r="H155" i="1"/>
  <c r="G155" i="1"/>
  <c r="F155" i="1"/>
  <c r="E155" i="1"/>
  <c r="D155" i="1"/>
  <c r="C155" i="1"/>
  <c r="B155" i="1"/>
  <c r="K152" i="1"/>
  <c r="J152" i="1"/>
  <c r="I152" i="1"/>
  <c r="H152" i="1"/>
  <c r="G152" i="1"/>
  <c r="F152" i="1"/>
  <c r="D152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J131" i="1"/>
  <c r="M130" i="1"/>
  <c r="L130" i="1"/>
  <c r="L128" i="1" s="1"/>
  <c r="K130" i="1"/>
  <c r="K128" i="1" s="1"/>
  <c r="J130" i="1"/>
  <c r="J128" i="1" s="1"/>
  <c r="M128" i="1"/>
  <c r="I128" i="1"/>
  <c r="H128" i="1"/>
  <c r="G128" i="1"/>
  <c r="F128" i="1"/>
  <c r="E128" i="1"/>
  <c r="D128" i="1"/>
  <c r="C128" i="1"/>
  <c r="B128" i="1"/>
  <c r="E120" i="1"/>
  <c r="E116" i="1" s="1"/>
  <c r="D120" i="1"/>
  <c r="C120" i="1"/>
  <c r="C116" i="1" s="1"/>
  <c r="E118" i="1"/>
  <c r="D118" i="1"/>
  <c r="M116" i="1"/>
  <c r="L116" i="1"/>
  <c r="K116" i="1"/>
  <c r="J116" i="1"/>
  <c r="I116" i="1"/>
  <c r="H116" i="1"/>
  <c r="G116" i="1"/>
  <c r="F116" i="1"/>
  <c r="D116" i="1"/>
  <c r="B116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3" i="1"/>
  <c r="L103" i="1"/>
  <c r="K103" i="1"/>
  <c r="J103" i="1"/>
  <c r="I103" i="1"/>
  <c r="H103" i="1"/>
  <c r="H102" i="1" s="1"/>
  <c r="G103" i="1"/>
  <c r="G102" i="1" s="1"/>
  <c r="F103" i="1"/>
  <c r="E103" i="1"/>
  <c r="D103" i="1"/>
  <c r="C103" i="1"/>
  <c r="B103" i="1"/>
  <c r="M102" i="1"/>
  <c r="L102" i="1"/>
  <c r="K102" i="1"/>
  <c r="J102" i="1"/>
  <c r="I102" i="1"/>
  <c r="F102" i="1"/>
  <c r="E102" i="1"/>
  <c r="D102" i="1"/>
  <c r="C102" i="1"/>
  <c r="B102" i="1"/>
  <c r="M93" i="1"/>
  <c r="L93" i="1"/>
  <c r="K93" i="1"/>
  <c r="J93" i="1"/>
  <c r="I93" i="1"/>
  <c r="H93" i="1"/>
  <c r="G93" i="1"/>
  <c r="F93" i="1"/>
  <c r="E93" i="1"/>
  <c r="D93" i="1"/>
  <c r="C93" i="1"/>
  <c r="B93" i="1"/>
  <c r="M87" i="1"/>
  <c r="L87" i="1"/>
  <c r="K87" i="1"/>
  <c r="K86" i="1" s="1"/>
  <c r="J87" i="1"/>
  <c r="I87" i="1"/>
  <c r="H87" i="1"/>
  <c r="H86" i="1" s="1"/>
  <c r="G87" i="1"/>
  <c r="G86" i="1" s="1"/>
  <c r="F87" i="1"/>
  <c r="F86" i="1" s="1"/>
  <c r="E87" i="1"/>
  <c r="D87" i="1"/>
  <c r="C87" i="1"/>
  <c r="B87" i="1"/>
  <c r="M86" i="1"/>
  <c r="L86" i="1"/>
  <c r="J86" i="1"/>
  <c r="I86" i="1"/>
  <c r="E86" i="1"/>
  <c r="D86" i="1"/>
  <c r="C86" i="1"/>
  <c r="B86" i="1"/>
  <c r="N80" i="1"/>
  <c r="N79" i="1"/>
  <c r="N78" i="1"/>
  <c r="N77" i="1"/>
  <c r="N76" i="1"/>
  <c r="M75" i="1"/>
  <c r="L75" i="1"/>
  <c r="K75" i="1"/>
  <c r="J75" i="1"/>
  <c r="I75" i="1"/>
  <c r="H75" i="1"/>
  <c r="G75" i="1"/>
  <c r="F75" i="1"/>
  <c r="E75" i="1"/>
  <c r="D75" i="1"/>
  <c r="C75" i="1"/>
  <c r="B75" i="1"/>
  <c r="N75" i="1" s="1"/>
  <c r="N73" i="1"/>
  <c r="N72" i="1"/>
  <c r="N71" i="1"/>
  <c r="N70" i="1"/>
  <c r="N68" i="1" s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6" i="1"/>
  <c r="N65" i="1"/>
  <c r="N63" i="1"/>
  <c r="N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59" i="1"/>
  <c r="N58" i="1"/>
  <c r="N57" i="1"/>
  <c r="N56" i="1"/>
  <c r="N55" i="1"/>
  <c r="N54" i="1" s="1"/>
  <c r="M54" i="1"/>
  <c r="L54" i="1"/>
  <c r="K54" i="1"/>
  <c r="J54" i="1"/>
  <c r="I54" i="1"/>
  <c r="H54" i="1"/>
  <c r="G54" i="1"/>
  <c r="F54" i="1"/>
  <c r="E54" i="1"/>
  <c r="D54" i="1"/>
  <c r="C54" i="1"/>
  <c r="B54" i="1"/>
  <c r="N52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N48" i="1"/>
  <c r="N47" i="1"/>
  <c r="N50" i="1" s="1"/>
  <c r="N44" i="1"/>
  <c r="N43" i="1"/>
  <c r="N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39" i="1"/>
  <c r="N39" i="1"/>
  <c r="N38" i="1"/>
  <c r="R38" i="1" s="1"/>
  <c r="N35" i="1"/>
  <c r="R34" i="1"/>
  <c r="N33" i="1"/>
  <c r="N32" i="1"/>
  <c r="R33" i="1" s="1"/>
  <c r="N30" i="1"/>
  <c r="R29" i="1"/>
  <c r="N29" i="1"/>
  <c r="R28" i="1"/>
  <c r="N28" i="1"/>
  <c r="N27" i="1"/>
  <c r="N26" i="1"/>
  <c r="R25" i="1"/>
  <c r="O25" i="1"/>
  <c r="O22" i="1" s="1"/>
  <c r="O21" i="1" s="1"/>
  <c r="N25" i="1"/>
  <c r="R26" i="1" s="1"/>
  <c r="M25" i="1"/>
  <c r="M22" i="1" s="1"/>
  <c r="M21" i="1" s="1"/>
  <c r="L25" i="1"/>
  <c r="K25" i="1"/>
  <c r="K22" i="1" s="1"/>
  <c r="K21" i="1" s="1"/>
  <c r="J25" i="1"/>
  <c r="I25" i="1"/>
  <c r="H25" i="1"/>
  <c r="G25" i="1"/>
  <c r="F25" i="1"/>
  <c r="E25" i="1"/>
  <c r="D25" i="1"/>
  <c r="C25" i="1"/>
  <c r="C22" i="1" s="1"/>
  <c r="C21" i="1" s="1"/>
  <c r="B25" i="1"/>
  <c r="N24" i="1"/>
  <c r="N23" i="1"/>
  <c r="R24" i="1" s="1"/>
  <c r="L22" i="1"/>
  <c r="J22" i="1"/>
  <c r="I22" i="1"/>
  <c r="H22" i="1"/>
  <c r="G22" i="1"/>
  <c r="G21" i="1" s="1"/>
  <c r="F22" i="1"/>
  <c r="F21" i="1" s="1"/>
  <c r="E22" i="1"/>
  <c r="E21" i="1" s="1"/>
  <c r="D22" i="1"/>
  <c r="D21" i="1" s="1"/>
  <c r="B22" i="1"/>
  <c r="B21" i="1" s="1"/>
  <c r="L21" i="1"/>
  <c r="J21" i="1"/>
  <c r="I21" i="1"/>
  <c r="H21" i="1"/>
  <c r="N19" i="1"/>
  <c r="R19" i="1" s="1"/>
  <c r="N18" i="1"/>
  <c r="N17" i="1"/>
  <c r="N16" i="1"/>
  <c r="N15" i="1"/>
  <c r="R15" i="1" s="1"/>
  <c r="M14" i="1"/>
  <c r="M13" i="1" s="1"/>
  <c r="M11" i="1" s="1"/>
  <c r="M10" i="1" s="1"/>
  <c r="L14" i="1"/>
  <c r="L13" i="1" s="1"/>
  <c r="L11" i="1" s="1"/>
  <c r="L10" i="1" s="1"/>
  <c r="L31" i="1" s="1"/>
  <c r="L34" i="1" s="1"/>
  <c r="K14" i="1"/>
  <c r="K13" i="1" s="1"/>
  <c r="K11" i="1" s="1"/>
  <c r="K10" i="1" s="1"/>
  <c r="K31" i="1" s="1"/>
  <c r="K34" i="1" s="1"/>
  <c r="J14" i="1"/>
  <c r="J13" i="1" s="1"/>
  <c r="J11" i="1" s="1"/>
  <c r="J10" i="1" s="1"/>
  <c r="J31" i="1" s="1"/>
  <c r="J34" i="1" s="1"/>
  <c r="I14" i="1"/>
  <c r="I13" i="1" s="1"/>
  <c r="I11" i="1" s="1"/>
  <c r="I10" i="1" s="1"/>
  <c r="I31" i="1" s="1"/>
  <c r="I34" i="1" s="1"/>
  <c r="H14" i="1"/>
  <c r="R20" i="1" s="1"/>
  <c r="G14" i="1"/>
  <c r="F14" i="1"/>
  <c r="E14" i="1"/>
  <c r="C14" i="1"/>
  <c r="C12" i="1" s="1"/>
  <c r="B14" i="1"/>
  <c r="B12" i="1" s="1"/>
  <c r="O13" i="1"/>
  <c r="O11" i="1" s="1"/>
  <c r="O10" i="1" s="1"/>
  <c r="G13" i="1"/>
  <c r="G11" i="1" s="1"/>
  <c r="G10" i="1" s="1"/>
  <c r="G31" i="1" s="1"/>
  <c r="G34" i="1" s="1"/>
  <c r="F13" i="1"/>
  <c r="F11" i="1" s="1"/>
  <c r="F10" i="1" s="1"/>
  <c r="F31" i="1" s="1"/>
  <c r="F34" i="1" s="1"/>
  <c r="E13" i="1"/>
  <c r="E11" i="1" s="1"/>
  <c r="E10" i="1" s="1"/>
  <c r="E31" i="1" s="1"/>
  <c r="E34" i="1" s="1"/>
  <c r="D13" i="1"/>
  <c r="D11" i="1" s="1"/>
  <c r="D10" i="1" s="1"/>
  <c r="D31" i="1" s="1"/>
  <c r="D34" i="1" s="1"/>
  <c r="C13" i="1"/>
  <c r="C11" i="1" s="1"/>
  <c r="C10" i="1" s="1"/>
  <c r="C31" i="1" s="1"/>
  <c r="C34" i="1" s="1"/>
  <c r="B13" i="1"/>
  <c r="B11" i="1" s="1"/>
  <c r="B10" i="1" s="1"/>
  <c r="B31" i="1" s="1"/>
  <c r="B34" i="1" s="1"/>
  <c r="I12" i="1"/>
  <c r="H12" i="1"/>
  <c r="G12" i="1"/>
  <c r="F12" i="1"/>
  <c r="E12" i="1"/>
  <c r="D12" i="1"/>
  <c r="H176" i="1" l="1"/>
  <c r="H177" i="1" s="1"/>
  <c r="M31" i="1"/>
  <c r="M34" i="1" s="1"/>
  <c r="Q26" i="1"/>
  <c r="O31" i="1"/>
  <c r="O34" i="1" s="1"/>
  <c r="Q29" i="1"/>
  <c r="Q30" i="1"/>
  <c r="P19" i="1"/>
  <c r="Q19" i="1" s="1"/>
  <c r="P28" i="1"/>
  <c r="Q28" i="1" s="1"/>
  <c r="P39" i="1"/>
  <c r="Q39" i="1" s="1"/>
  <c r="P12" i="1"/>
  <c r="P24" i="1"/>
  <c r="Q24" i="1" s="1"/>
  <c r="P26" i="1"/>
  <c r="P29" i="1"/>
  <c r="P33" i="1"/>
  <c r="Q33" i="1" s="1"/>
  <c r="P30" i="1"/>
  <c r="P15" i="1"/>
  <c r="Q15" i="1" s="1"/>
  <c r="P38" i="1"/>
  <c r="Q38" i="1" s="1"/>
  <c r="P23" i="1"/>
  <c r="Q23" i="1" s="1"/>
  <c r="P32" i="1"/>
  <c r="Q32" i="1" s="1"/>
  <c r="J12" i="1"/>
  <c r="N14" i="1"/>
  <c r="L12" i="1"/>
  <c r="H13" i="1"/>
  <c r="H11" i="1" s="1"/>
  <c r="H10" i="1" s="1"/>
  <c r="H31" i="1" s="1"/>
  <c r="H34" i="1" s="1"/>
  <c r="M12" i="1"/>
  <c r="K12" i="1"/>
  <c r="R30" i="1"/>
  <c r="N22" i="1"/>
  <c r="N12" i="1" l="1"/>
  <c r="N13" i="1"/>
  <c r="N21" i="1"/>
  <c r="Q22" i="1"/>
  <c r="R23" i="1"/>
  <c r="P25" i="1"/>
  <c r="Q25" i="1" s="1"/>
  <c r="P22" i="1"/>
  <c r="P21" i="1" s="1"/>
  <c r="P13" i="1"/>
  <c r="P11" i="1" s="1"/>
  <c r="P10" i="1" s="1"/>
  <c r="P31" i="1" s="1"/>
  <c r="P34" i="1" s="1"/>
  <c r="R22" i="1" l="1"/>
  <c r="R21" i="1"/>
  <c r="Q21" i="1"/>
  <c r="N11" i="1"/>
  <c r="Q13" i="1"/>
  <c r="Q12" i="1"/>
  <c r="R13" i="1"/>
  <c r="R12" i="1" l="1"/>
  <c r="N10" i="1"/>
  <c r="Q11" i="1"/>
  <c r="N31" i="1" l="1"/>
  <c r="R10" i="1"/>
  <c r="R11" i="1"/>
  <c r="Q10" i="1"/>
  <c r="R31" i="1" l="1"/>
  <c r="Q31" i="1"/>
  <c r="N34" i="1"/>
  <c r="Q34" i="1" s="1"/>
  <c r="R32" i="1"/>
</calcChain>
</file>

<file path=xl/comments1.xml><?xml version="1.0" encoding="utf-8"?>
<comments xmlns="http://schemas.openxmlformats.org/spreadsheetml/2006/main">
  <authors>
    <author>JCASLAP37</author>
    <author>Rodolfo Hernandez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  <comment ref="A75" authorId="1" shapeId="0">
      <text>
        <r>
          <rPr>
            <b/>
            <sz val="9"/>
            <color indexed="81"/>
            <rFont val="Tahoma"/>
            <family val="2"/>
          </rPr>
          <t>Dato sale de la Balanza de Comprobacion, lo proporciona finanzas</t>
        </r>
      </text>
    </comment>
    <comment ref="A86" authorId="1" shapeId="0">
      <text>
        <r>
          <rPr>
            <b/>
            <sz val="9"/>
            <color indexed="81"/>
            <rFont val="Tahoma"/>
            <family val="2"/>
          </rPr>
          <t>Cuentas que facturaron en el mes</t>
        </r>
      </text>
    </comment>
    <comment ref="A99" authorId="1" shapeId="0">
      <text>
        <r>
          <rPr>
            <b/>
            <sz val="9"/>
            <color indexed="81"/>
            <rFont val="Tahoma"/>
            <family val="2"/>
          </rPr>
          <t>Se estima un 98% del total de tomas activas</t>
        </r>
      </text>
    </comment>
    <comment ref="F111" authorId="1" shapeId="0">
      <text>
        <r>
          <rPr>
            <b/>
            <sz val="9"/>
            <color indexed="81"/>
            <rFont val="Tahoma"/>
            <family val="2"/>
          </rPr>
          <t>Rodolfo Hernandez:</t>
        </r>
        <r>
          <rPr>
            <sz val="9"/>
            <color indexed="81"/>
            <rFont val="Tahoma"/>
            <family val="2"/>
          </rPr>
          <t xml:space="preserve">
En los meses anteriores se incluia aquellos usuarios que no tenian adeudo y se dejaban fuera las cuentas que no habian facturado el mes (BAJAS y CONGELADAS)</t>
        </r>
      </text>
    </comment>
    <comment ref="A116" authorId="1" shapeId="0">
      <text>
        <r>
          <rPr>
            <b/>
            <sz val="9"/>
            <color indexed="81"/>
            <rFont val="Tahoma"/>
            <family val="2"/>
          </rPr>
          <t>Incluye los de consumo estimado para cuota fija de los que facturaron</t>
        </r>
      </text>
    </comment>
    <comment ref="G176" authorId="1" shapeId="0">
      <text>
        <r>
          <rPr>
            <b/>
            <sz val="9"/>
            <color indexed="81"/>
            <rFont val="Tahoma"/>
            <family val="2"/>
          </rPr>
          <t>Tomas con servicio continuo: Fatima, Talleres y Alfareña
Menos de 12 horas: Sectores del verano (37%), recompensa (6%), veta colorada (14%) y planta parral (35%)
Resto de tomas seria zona de mina la prieta (7%)
*% sobre el total de tomas activas del mes</t>
        </r>
      </text>
    </comment>
    <comment ref="H176" authorId="1" shapeId="0">
      <text>
        <r>
          <rPr>
            <b/>
            <sz val="9"/>
            <color indexed="81"/>
            <rFont val="Tahoma"/>
            <family val="2"/>
          </rPr>
          <t xml:space="preserve">De acuerdo a oficio recibido por Direccion Tecnica 7% del padron
</t>
        </r>
      </text>
    </comment>
    <comment ref="G177" authorId="1" shapeId="0">
      <text>
        <r>
          <rPr>
            <b/>
            <sz val="9"/>
            <color indexed="81"/>
            <rFont val="Tahoma"/>
            <family val="2"/>
          </rPr>
          <t>la diferencia con el total de tomas se debe a que son sectores o colonias con manos de 24 hrs de servicio pero con mas de 12</t>
        </r>
      </text>
    </comment>
  </commentList>
</comments>
</file>

<file path=xl/sharedStrings.xml><?xml version="1.0" encoding="utf-8"?>
<sst xmlns="http://schemas.openxmlformats.org/spreadsheetml/2006/main" count="176" uniqueCount="169">
  <si>
    <t>JUNTA MUNICIPAL DE AGUA Y SANEAMIENTO DE …</t>
  </si>
  <si>
    <t>ESTADO COMPARATIVO DE EGRESOS PRESUPUESTADO &amp; EJERCIDO</t>
  </si>
  <si>
    <t>INDICADORES DE RESULTADOS DEL 01 DE ENERO AL 31 DICIEMBRE 2023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</si>
  <si>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</si>
  <si>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</si>
  <si>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</si>
  <si>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</si>
  <si>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</si>
  <si>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</si>
  <si>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</si>
  <si>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</si>
  <si>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</si>
  <si>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</si>
  <si>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</si>
  <si>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</si>
  <si>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</si>
  <si>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</si>
  <si>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</si>
  <si>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</si>
  <si>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</si>
  <si>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</si>
  <si>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</si>
  <si>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1. Ingresos  (A+C)</t>
  </si>
  <si>
    <t>A) Ingresos propios netos (a+b+c)</t>
  </si>
  <si>
    <t>B) Ingresos por agua, alcantarillado y saneamiento netos (i+b+c)</t>
  </si>
  <si>
    <t>a) Ingresos propios (i+ii)</t>
  </si>
  <si>
    <t>i) ingresos por agua, alcantarillado y saneamiento brutos</t>
  </si>
  <si>
    <t>ii) resto de los ingresos propios</t>
  </si>
  <si>
    <t>b) Descuento social (numero en negativo)</t>
  </si>
  <si>
    <t>c) Bonificaciones (numero en negativo)</t>
  </si>
  <si>
    <t>d) Ajustes (numero en negativo) (DATO INFORMATIVO)</t>
  </si>
  <si>
    <t>C) Ingresos indirectos</t>
  </si>
  <si>
    <t>2. Egresos (A+B+C)</t>
  </si>
  <si>
    <t>A) Gastos de operación (a+b+c+d+e)</t>
  </si>
  <si>
    <t>a) Servicios personales</t>
  </si>
  <si>
    <t>b) Materiales y suministros</t>
  </si>
  <si>
    <t>c) Servicios Generales (i+ii)</t>
  </si>
  <si>
    <t>i) Energía eléctrica</t>
  </si>
  <si>
    <t>Energía eléctrica (para suministro de agua) (DATO INFORMATIVO)</t>
  </si>
  <si>
    <t>ii) Resto de los Servicios</t>
  </si>
  <si>
    <t>d) Transferencias, asignaciones, subsidios y ayudas</t>
  </si>
  <si>
    <t>e) Otros Gastos</t>
  </si>
  <si>
    <t>Resultado del Ejercicio</t>
  </si>
  <si>
    <t>B) Creditos</t>
  </si>
  <si>
    <t>C) Inversiones propias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</si>
  <si>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</si>
  <si>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D) Inversiones de Gobierno</t>
  </si>
  <si>
    <t>Saldo en Bancos</t>
  </si>
  <si>
    <t>DFEA</t>
  </si>
  <si>
    <t>5% JCAS</t>
  </si>
  <si>
    <t>Energía Eléctrica de Operación en KW (A+B+C)</t>
  </si>
  <si>
    <t>A) Agua potable</t>
  </si>
  <si>
    <t>B) Alcantarillado</t>
  </si>
  <si>
    <t>C) Saneamiento</t>
  </si>
  <si>
    <t>Desglose Consumo Eléctrico</t>
  </si>
  <si>
    <t>kwh Básico</t>
  </si>
  <si>
    <t>kwh Intermedio</t>
  </si>
  <si>
    <t>kwh Pico (Excedente)</t>
  </si>
  <si>
    <t>kwh Totales</t>
  </si>
  <si>
    <t>Volumen de agua producida en m3</t>
  </si>
  <si>
    <t>Volumen de agua facturada (medida) en m3 (A+B+C+D+E)</t>
  </si>
  <si>
    <t>A) Doméstico m3</t>
  </si>
  <si>
    <t>B) Comercial m3</t>
  </si>
  <si>
    <t>C) Industrial m3</t>
  </si>
  <si>
    <t>D) Escolar m3</t>
  </si>
  <si>
    <t>E) Público m3</t>
  </si>
  <si>
    <t>Volumen de agua cobrado en m3 (A+B)</t>
  </si>
  <si>
    <t>A) A Tiempo m3</t>
  </si>
  <si>
    <t>B) Con Rezago m3</t>
  </si>
  <si>
    <t>Volumen de agua residual (por tratar) en m3 (Entrada a PTAR)</t>
  </si>
  <si>
    <t>Volumen de agua tratada en m3 (Salida de PTAR)</t>
  </si>
  <si>
    <t>Facturación de Agua, Drenaje y Saneamiento en $ (A+B+C+D+E)</t>
  </si>
  <si>
    <t>A) Doméstico facturado</t>
  </si>
  <si>
    <t>B) Comercial facturado</t>
  </si>
  <si>
    <t>C) Industrial facturado</t>
  </si>
  <si>
    <t>D) Escolar facturado</t>
  </si>
  <si>
    <t>E) Público facturado</t>
  </si>
  <si>
    <t>Cobrado de Agua, Drenaje y Saneamiento en $ (A+B+C+D+E)</t>
  </si>
  <si>
    <t>A) Doméstico cobrado</t>
  </si>
  <si>
    <t>B) Comercial cobrado</t>
  </si>
  <si>
    <t>C) Industrial cobrado</t>
  </si>
  <si>
    <t>D) Escolar cobrado</t>
  </si>
  <si>
    <t>E) Público cobrado</t>
  </si>
  <si>
    <t>a) A tiempo $</t>
  </si>
  <si>
    <t>b) Con rezago $</t>
  </si>
  <si>
    <t>Padrón de usuarios</t>
  </si>
  <si>
    <t>Total de conexiones de agua (A+B)</t>
  </si>
  <si>
    <t>A) Conexiones de servicio medido  (a+b+c+d+e)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</si>
  <si>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</si>
  <si>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</si>
  <si>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</si>
  <si>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</si>
  <si>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</si>
  <si>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B) Conexiones de cuota fija (a+b+c+d+e)</t>
  </si>
  <si>
    <t>a) Doméstico cuota fija</t>
  </si>
  <si>
    <t>b) Comercial cuota fija</t>
  </si>
  <si>
    <t>c) Industrial cuota fija</t>
  </si>
  <si>
    <t>d) Escolar cuota fija</t>
  </si>
  <si>
    <t>e) Público cuota fija</t>
  </si>
  <si>
    <t>Total de descargas de drenaje</t>
  </si>
  <si>
    <t xml:space="preserve">Analítico del Rezago </t>
  </si>
  <si>
    <t>Monto del Rezago (A+B+C)</t>
  </si>
  <si>
    <t>A) Rezago cobrable (a+b+c)</t>
  </si>
  <si>
    <t>a) Doméstico rezago</t>
  </si>
  <si>
    <t>b) Comercial rezago</t>
  </si>
  <si>
    <t>c) Industrial rezago</t>
  </si>
  <si>
    <t>B) Escolar rezago</t>
  </si>
  <si>
    <t>C) Público rezago</t>
  </si>
  <si>
    <t>No. De tomas con rezago (A+B+C+D)</t>
  </si>
  <si>
    <t>A) 1 y 2 meses</t>
  </si>
  <si>
    <t>B) De 3 a 6 meses</t>
  </si>
  <si>
    <t>C) De 7 a 12 meses</t>
  </si>
  <si>
    <t>D) 13 meses en delante</t>
  </si>
  <si>
    <t>Total de usuarios en consumo de 0 a 20 m3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</si>
  <si>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</si>
  <si>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</si>
  <si>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</si>
  <si>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</si>
  <si>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Precio de tarifas domesticas (A+B+C)</t>
  </si>
  <si>
    <t xml:space="preserve"> A) Tarifa domestica de 0 a 10 m3</t>
  </si>
  <si>
    <t xml:space="preserve"> B) Tarifa domestica de 15 m3</t>
  </si>
  <si>
    <t xml:space="preserve"> C) Tarifa domestica de 20 m3</t>
  </si>
  <si>
    <t xml:space="preserve">Coberturas de servicios </t>
  </si>
  <si>
    <t>No. habitantes según censo de INEGI (Localidad)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</si>
  <si>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</si>
  <si>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</si>
  <si>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</si>
  <si>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</si>
  <si>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</si>
  <si>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</si>
  <si>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</si>
  <si>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</si>
  <si>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</si>
  <si>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</si>
  <si>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micromedidores fuera de servicio</t>
  </si>
  <si>
    <t>No. de micromedidores instalados nuevos en el mes</t>
  </si>
  <si>
    <t>No. de micromedidores repuestos</t>
  </si>
  <si>
    <t>No. de macromedidores funcionando</t>
  </si>
  <si>
    <t>No. de macromedidores fuera de servicio</t>
  </si>
  <si>
    <t>No. de macromedidores repuestos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</si>
  <si>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</si>
  <si>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</si>
  <si>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</si>
  <si>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</si>
  <si>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</si>
  <si>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 (MINAS)</t>
  </si>
  <si>
    <t>Numero de fugas por Km/mes</t>
  </si>
  <si>
    <t>Recursos humanos</t>
  </si>
  <si>
    <t>A) Empleados Activos (a+b+c+d)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</si>
  <si>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</si>
  <si>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</si>
  <si>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</si>
  <si>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b) Comercialización</t>
  </si>
  <si>
    <t>c) Operación</t>
  </si>
  <si>
    <t>d) Eventuales (al dia ultimo de mes)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</si>
  <si>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</si>
  <si>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</si>
  <si>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</si>
  <si>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</si>
  <si>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</si>
  <si>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</si>
  <si>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</si>
  <si>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</si>
  <si>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</si>
  <si>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Bajo protesta de decir la verdad declaramos que los Estados Financieros y sus Notas son razonablemente correctos y son responsabilidad del emisor.</t>
  </si>
  <si>
    <t>Lic Juan Adrian Plancarte Castro</t>
  </si>
  <si>
    <t>Lic. Brigida Karina Arroyo Rubio</t>
  </si>
  <si>
    <t xml:space="preserve">Director Ejecutivo 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</si>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</sst>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1" fontId="2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0" xfId="2" applyFont="1" applyFill="1" applyProtection="1">
      <protection locked="0"/>
    </xf>
    <xf numFmtId="1" fontId="5" fillId="2" borderId="0" xfId="2" applyNumberFormat="1" applyFont="1" applyFill="1" applyAlignment="1" applyProtection="1">
      <alignment horizontal="center"/>
      <protection locked="0"/>
    </xf>
    <xf numFmtId="1" fontId="6" fillId="2" borderId="0" xfId="2" applyNumberFormat="1" applyFont="1" applyFill="1" applyAlignment="1" applyProtection="1">
      <alignment horizontal="center"/>
      <protection locked="0"/>
    </xf>
    <xf numFmtId="1" fontId="7" fillId="3" borderId="0" xfId="2" applyNumberFormat="1" applyFont="1" applyFill="1" applyAlignment="1" applyProtection="1">
      <alignment horizontal="center"/>
      <protection locked="0"/>
    </xf>
    <xf numFmtId="1" fontId="8" fillId="2" borderId="0" xfId="2" applyNumberFormat="1" applyFont="1" applyFill="1" applyProtection="1">
      <protection locked="0"/>
    </xf>
    <xf numFmtId="0" fontId="9" fillId="0" borderId="0" xfId="0" applyFont="1" applyProtection="1">
      <protection locked="0"/>
    </xf>
    <xf numFmtId="1" fontId="10" fillId="0" borderId="0" xfId="2" applyNumberFormat="1" applyFont="1" applyAlignment="1" applyProtection="1">
      <alignment horizontal="center"/>
      <protection locked="0"/>
    </xf>
    <xf numFmtId="1" fontId="11" fillId="0" borderId="0" xfId="2" applyNumberFormat="1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1" fontId="12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/>
    </xf>
    <xf numFmtId="43" fontId="14" fillId="5" borderId="3" xfId="3" applyFont="1" applyFill="1" applyBorder="1" applyAlignment="1" applyProtection="1">
      <alignment horizontal="right" vertical="center"/>
    </xf>
    <xf numFmtId="9" fontId="14" fillId="5" borderId="4" xfId="1" applyFont="1" applyFill="1" applyBorder="1" applyAlignment="1" applyProtection="1">
      <alignment horizontal="right" vertical="center"/>
    </xf>
    <xf numFmtId="0" fontId="15" fillId="0" borderId="5" xfId="0" applyFont="1" applyBorder="1" applyAlignment="1">
      <alignment horizontal="left" vertical="center" indent="2"/>
    </xf>
    <xf numFmtId="43" fontId="16" fillId="0" borderId="6" xfId="3" applyFont="1" applyFill="1" applyBorder="1" applyAlignment="1" applyProtection="1">
      <alignment horizontal="right" vertical="center"/>
    </xf>
    <xf numFmtId="9" fontId="16" fillId="0" borderId="7" xfId="1" applyFont="1" applyFill="1" applyBorder="1" applyAlignment="1" applyProtection="1">
      <alignment horizontal="right" vertical="center"/>
    </xf>
    <xf numFmtId="43" fontId="16" fillId="6" borderId="6" xfId="3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4"/>
    </xf>
    <xf numFmtId="0" fontId="16" fillId="0" borderId="5" xfId="0" applyFont="1" applyBorder="1" applyAlignment="1">
      <alignment horizontal="left" vertical="center" indent="6"/>
    </xf>
    <xf numFmtId="0" fontId="16" fillId="0" borderId="5" xfId="0" applyFont="1" applyBorder="1" applyAlignment="1">
      <alignment horizontal="left" vertical="center" indent="4"/>
    </xf>
    <xf numFmtId="164" fontId="16" fillId="6" borderId="6" xfId="3" applyNumberFormat="1" applyFont="1" applyFill="1" applyBorder="1" applyAlignment="1" applyProtection="1">
      <alignment horizontal="right" vertical="center"/>
      <protection locked="0"/>
    </xf>
    <xf numFmtId="164" fontId="16" fillId="6" borderId="6" xfId="3" quotePrefix="1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left" vertical="center" indent="2"/>
    </xf>
    <xf numFmtId="43" fontId="16" fillId="0" borderId="6" xfId="3" applyFont="1" applyFill="1" applyBorder="1" applyAlignment="1" applyProtection="1">
      <alignment horizontal="right" vertical="center"/>
      <protection locked="0"/>
    </xf>
    <xf numFmtId="43" fontId="16" fillId="0" borderId="8" xfId="3" applyFont="1" applyFill="1" applyBorder="1" applyAlignment="1" applyProtection="1">
      <alignment horizontal="right" vertical="center"/>
      <protection locked="0"/>
    </xf>
    <xf numFmtId="165" fontId="17" fillId="0" borderId="7" xfId="3" applyNumberFormat="1" applyFont="1" applyFill="1" applyBorder="1" applyAlignment="1" applyProtection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43" fontId="14" fillId="5" borderId="6" xfId="3" applyFont="1" applyFill="1" applyBorder="1" applyAlignment="1" applyProtection="1">
      <alignment horizontal="right" vertical="center"/>
    </xf>
    <xf numFmtId="43" fontId="14" fillId="0" borderId="6" xfId="3" applyFont="1" applyFill="1" applyBorder="1" applyAlignment="1" applyProtection="1">
      <alignment horizontal="right" vertical="center"/>
    </xf>
    <xf numFmtId="43" fontId="16" fillId="7" borderId="6" xfId="3" applyFont="1" applyFill="1" applyBorder="1" applyAlignment="1" applyProtection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0" fontId="16" fillId="8" borderId="9" xfId="0" applyFont="1" applyFill="1" applyBorder="1" applyAlignment="1">
      <alignment horizontal="left" vertical="center" indent="2"/>
    </xf>
    <xf numFmtId="43" fontId="16" fillId="8" borderId="10" xfId="3" applyFont="1" applyFill="1" applyBorder="1" applyAlignment="1" applyProtection="1">
      <alignment horizontal="right" vertical="center"/>
      <protection locked="0"/>
    </xf>
    <xf numFmtId="43" fontId="16" fillId="8" borderId="6" xfId="3" applyFont="1" applyFill="1" applyBorder="1" applyAlignment="1" applyProtection="1">
      <alignment horizontal="right" vertical="center"/>
    </xf>
    <xf numFmtId="9" fontId="16" fillId="8" borderId="7" xfId="1" applyFont="1" applyFill="1" applyBorder="1" applyAlignment="1" applyProtection="1">
      <alignment horizontal="right" vertical="center"/>
    </xf>
    <xf numFmtId="0" fontId="0" fillId="8" borderId="0" xfId="0" applyFill="1" applyProtection="1">
      <protection locked="0"/>
    </xf>
    <xf numFmtId="0" fontId="16" fillId="0" borderId="11" xfId="0" applyFont="1" applyBorder="1" applyAlignment="1">
      <alignment horizontal="left" vertical="center"/>
    </xf>
    <xf numFmtId="43" fontId="16" fillId="0" borderId="11" xfId="3" applyFont="1" applyFill="1" applyBorder="1" applyAlignment="1" applyProtection="1">
      <alignment horizontal="right" vertical="center"/>
      <protection locked="0"/>
    </xf>
    <xf numFmtId="9" fontId="16" fillId="0" borderId="12" xfId="1" applyFont="1" applyFill="1" applyBorder="1" applyAlignment="1" applyProtection="1">
      <alignment horizontal="right" vertical="center"/>
      <protection locked="0"/>
    </xf>
    <xf numFmtId="43" fontId="16" fillId="6" borderId="3" xfId="3" applyFont="1" applyFill="1" applyBorder="1" applyAlignment="1" applyProtection="1">
      <alignment horizontal="right" vertical="center"/>
      <protection locked="0"/>
    </xf>
    <xf numFmtId="43" fontId="16" fillId="0" borderId="3" xfId="3" applyFont="1" applyFill="1" applyBorder="1" applyAlignment="1" applyProtection="1">
      <alignment horizontal="right" vertical="center"/>
    </xf>
    <xf numFmtId="43" fontId="16" fillId="0" borderId="3" xfId="3" applyFont="1" applyFill="1" applyBorder="1" applyAlignment="1" applyProtection="1">
      <alignment horizontal="right" vertical="center"/>
      <protection locked="0"/>
    </xf>
    <xf numFmtId="9" fontId="16" fillId="0" borderId="4" xfId="1" applyFont="1" applyFill="1" applyBorder="1" applyAlignment="1" applyProtection="1">
      <alignment horizontal="right" vertical="center"/>
      <protection locked="0"/>
    </xf>
    <xf numFmtId="0" fontId="8" fillId="5" borderId="9" xfId="0" applyFont="1" applyFill="1" applyBorder="1" applyAlignment="1">
      <alignment horizontal="left" vertical="center"/>
    </xf>
    <xf numFmtId="43" fontId="16" fillId="6" borderId="10" xfId="3" applyFont="1" applyFill="1" applyBorder="1" applyAlignment="1" applyProtection="1">
      <alignment horizontal="right" vertical="center"/>
      <protection locked="0"/>
    </xf>
    <xf numFmtId="43" fontId="16" fillId="0" borderId="10" xfId="3" applyFont="1" applyFill="1" applyBorder="1" applyAlignment="1" applyProtection="1">
      <alignment horizontal="right" vertical="center"/>
    </xf>
    <xf numFmtId="9" fontId="16" fillId="0" borderId="13" xfId="1" applyFont="1" applyFill="1" applyBorder="1" applyAlignment="1" applyProtection="1">
      <alignment horizontal="right" vertical="center"/>
    </xf>
    <xf numFmtId="0" fontId="16" fillId="0" borderId="14" xfId="0" applyFont="1" applyBorder="1" applyAlignment="1">
      <alignment horizontal="left" vertical="center"/>
    </xf>
    <xf numFmtId="9" fontId="16" fillId="0" borderId="15" xfId="1" applyFont="1" applyFill="1" applyBorder="1" applyAlignment="1" applyProtection="1">
      <alignment horizontal="right" vertical="center"/>
      <protection locked="0"/>
    </xf>
    <xf numFmtId="43" fontId="14" fillId="5" borderId="3" xfId="3" applyFont="1" applyFill="1" applyBorder="1" applyAlignment="1" applyProtection="1">
      <alignment horizontal="right" vertical="center"/>
      <protection locked="0"/>
    </xf>
    <xf numFmtId="9" fontId="14" fillId="5" borderId="4" xfId="1" applyFont="1" applyFill="1" applyBorder="1" applyAlignment="1" applyProtection="1">
      <alignment horizontal="right" vertical="center"/>
      <protection locked="0"/>
    </xf>
    <xf numFmtId="9" fontId="16" fillId="0" borderId="7" xfId="1" applyFont="1" applyFill="1" applyBorder="1" applyAlignment="1" applyProtection="1">
      <alignment horizontal="right" vertical="center"/>
      <protection locked="0"/>
    </xf>
    <xf numFmtId="43" fontId="16" fillId="2" borderId="6" xfId="3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165" fontId="14" fillId="6" borderId="6" xfId="3" applyNumberFormat="1" applyFont="1" applyFill="1" applyBorder="1" applyAlignment="1" applyProtection="1">
      <alignment horizontal="right" vertical="center"/>
      <protection locked="0"/>
    </xf>
    <xf numFmtId="43" fontId="14" fillId="6" borderId="6" xfId="3" applyFont="1" applyFill="1" applyBorder="1" applyAlignment="1" applyProtection="1">
      <alignment horizontal="right" vertical="center"/>
      <protection locked="0"/>
    </xf>
    <xf numFmtId="43" fontId="14" fillId="5" borderId="6" xfId="3" applyFont="1" applyFill="1" applyBorder="1" applyAlignment="1" applyProtection="1">
      <alignment horizontal="right" vertical="center"/>
      <protection locked="0"/>
    </xf>
    <xf numFmtId="9" fontId="14" fillId="5" borderId="7" xfId="1" applyFont="1" applyFill="1" applyBorder="1" applyAlignment="1" applyProtection="1">
      <alignment horizontal="right" vertical="center"/>
      <protection locked="0"/>
    </xf>
    <xf numFmtId="165" fontId="14" fillId="5" borderId="6" xfId="3" applyNumberFormat="1" applyFont="1" applyFill="1" applyBorder="1" applyAlignment="1" applyProtection="1">
      <alignment horizontal="right" vertical="center"/>
    </xf>
    <xf numFmtId="165" fontId="16" fillId="6" borderId="6" xfId="3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left" vertical="center"/>
    </xf>
    <xf numFmtId="43" fontId="14" fillId="0" borderId="6" xfId="3" applyFont="1" applyFill="1" applyBorder="1" applyAlignment="1" applyProtection="1">
      <alignment horizontal="right" vertical="center"/>
      <protection locked="0"/>
    </xf>
    <xf numFmtId="0" fontId="16" fillId="5" borderId="5" xfId="0" applyFont="1" applyFill="1" applyBorder="1" applyAlignment="1">
      <alignment horizontal="left" vertical="center" indent="2"/>
    </xf>
    <xf numFmtId="43" fontId="16" fillId="5" borderId="6" xfId="3" applyFont="1" applyFill="1" applyBorder="1" applyAlignment="1" applyProtection="1">
      <alignment horizontal="right" vertical="center"/>
      <protection locked="0"/>
    </xf>
    <xf numFmtId="43" fontId="16" fillId="5" borderId="6" xfId="3" applyFont="1" applyFill="1" applyBorder="1" applyAlignment="1" applyProtection="1">
      <alignment horizontal="right" vertical="center"/>
    </xf>
    <xf numFmtId="9" fontId="16" fillId="5" borderId="7" xfId="1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left" vertical="center"/>
    </xf>
    <xf numFmtId="165" fontId="16" fillId="0" borderId="6" xfId="3" applyNumberFormat="1" applyFont="1" applyFill="1" applyBorder="1" applyAlignment="1" applyProtection="1">
      <alignment horizontal="right" vertical="center"/>
      <protection locked="0"/>
    </xf>
    <xf numFmtId="165" fontId="14" fillId="5" borderId="6" xfId="3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left" vertical="center" indent="2"/>
    </xf>
    <xf numFmtId="165" fontId="14" fillId="0" borderId="6" xfId="3" applyNumberFormat="1" applyFont="1" applyFill="1" applyBorder="1" applyAlignment="1" applyProtection="1">
      <alignment horizontal="right" vertical="center"/>
    </xf>
    <xf numFmtId="165" fontId="14" fillId="0" borderId="6" xfId="3" applyNumberFormat="1" applyFont="1" applyFill="1" applyBorder="1" applyAlignment="1" applyProtection="1">
      <alignment horizontal="right" vertical="center"/>
      <protection locked="0"/>
    </xf>
    <xf numFmtId="9" fontId="14" fillId="0" borderId="7" xfId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 indent="2"/>
    </xf>
    <xf numFmtId="43" fontId="16" fillId="9" borderId="6" xfId="3" applyFont="1" applyFill="1" applyBorder="1" applyAlignment="1" applyProtection="1">
      <alignment horizontal="right" vertical="center"/>
    </xf>
    <xf numFmtId="0" fontId="14" fillId="9" borderId="5" xfId="0" applyFont="1" applyFill="1" applyBorder="1" applyAlignment="1">
      <alignment horizontal="left" vertical="center" indent="2"/>
    </xf>
    <xf numFmtId="43" fontId="16" fillId="9" borderId="6" xfId="3" applyFont="1" applyFill="1" applyBorder="1" applyAlignment="1" applyProtection="1">
      <alignment horizontal="right" vertical="center"/>
      <protection locked="0"/>
    </xf>
    <xf numFmtId="0" fontId="8" fillId="9" borderId="5" xfId="0" applyFont="1" applyFill="1" applyBorder="1" applyAlignment="1">
      <alignment horizontal="left" vertical="center"/>
    </xf>
    <xf numFmtId="165" fontId="14" fillId="9" borderId="6" xfId="3" applyNumberFormat="1" applyFont="1" applyFill="1" applyBorder="1" applyAlignment="1" applyProtection="1">
      <alignment horizontal="right" vertical="center"/>
      <protection locked="0"/>
    </xf>
    <xf numFmtId="43" fontId="14" fillId="9" borderId="6" xfId="3" applyFont="1" applyFill="1" applyBorder="1" applyAlignment="1" applyProtection="1">
      <alignment horizontal="right" vertical="center"/>
      <protection locked="0"/>
    </xf>
    <xf numFmtId="9" fontId="16" fillId="0" borderId="6" xfId="1" applyFont="1" applyFill="1" applyBorder="1" applyAlignment="1" applyProtection="1">
      <alignment horizontal="right" vertical="center"/>
    </xf>
    <xf numFmtId="9" fontId="16" fillId="0" borderId="6" xfId="1" applyFont="1" applyFill="1" applyBorder="1" applyAlignment="1" applyProtection="1">
      <alignment horizontal="right" vertical="center"/>
      <protection locked="0"/>
    </xf>
    <xf numFmtId="166" fontId="16" fillId="6" borderId="6" xfId="3" applyNumberFormat="1" applyFont="1" applyFill="1" applyBorder="1" applyAlignment="1" applyProtection="1">
      <alignment horizontal="right" vertical="center"/>
      <protection locked="0"/>
    </xf>
    <xf numFmtId="167" fontId="16" fillId="6" borderId="6" xfId="3" applyNumberFormat="1" applyFont="1" applyFill="1" applyBorder="1" applyAlignment="1" applyProtection="1">
      <alignment horizontal="right" vertical="center"/>
      <protection locked="0"/>
    </xf>
    <xf numFmtId="165" fontId="16" fillId="0" borderId="6" xfId="3" applyNumberFormat="1" applyFont="1" applyFill="1" applyBorder="1" applyAlignment="1" applyProtection="1">
      <alignment horizontal="right" vertical="center"/>
    </xf>
    <xf numFmtId="167" fontId="16" fillId="0" borderId="6" xfId="3" applyNumberFormat="1" applyFont="1" applyFill="1" applyBorder="1" applyAlignment="1" applyProtection="1">
      <alignment horizontal="right" vertical="center"/>
    </xf>
    <xf numFmtId="165" fontId="20" fillId="6" borderId="6" xfId="3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Border="1" applyAlignment="1">
      <alignment horizontal="left" vertical="center"/>
    </xf>
    <xf numFmtId="165" fontId="16" fillId="6" borderId="10" xfId="3" applyNumberFormat="1" applyFont="1" applyFill="1" applyBorder="1" applyAlignment="1" applyProtection="1">
      <alignment horizontal="right" vertical="center"/>
      <protection locked="0"/>
    </xf>
    <xf numFmtId="165" fontId="16" fillId="0" borderId="10" xfId="3" applyNumberFormat="1" applyFont="1" applyFill="1" applyBorder="1" applyAlignment="1" applyProtection="1">
      <alignment horizontal="right" vertical="center"/>
      <protection locked="0"/>
    </xf>
    <xf numFmtId="43" fontId="16" fillId="0" borderId="10" xfId="3" applyFont="1" applyFill="1" applyBorder="1" applyAlignment="1" applyProtection="1">
      <alignment horizontal="right" vertical="center"/>
      <protection locked="0"/>
    </xf>
    <xf numFmtId="9" fontId="16" fillId="0" borderId="13" xfId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wrapText="1"/>
    </xf>
    <xf numFmtId="0" fontId="15" fillId="0" borderId="0" xfId="2" applyFont="1" applyProtection="1">
      <protection locked="0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165" fontId="4" fillId="0" borderId="0" xfId="2" applyNumberFormat="1" applyFont="1" applyProtection="1">
      <protection locked="0"/>
    </xf>
  </cellXfs>
  <cellStyles count="4">
    <cellStyle name="Comma 4" xfId="3"/>
    <cellStyle name="Normal" xfId="0" builtinId="0"/>
    <cellStyle name="Normal_FORMATO DEL PPTO. 2002  SEPT.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en%20Operativo%20y%20PIGOO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PC/Desktop/Escritorio/ENERO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\Layouts%20J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  <sheetName val="PIGOO 202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stado"/>
      <sheetName val="Edo-Act"/>
      <sheetName val="Edo-Fin"/>
      <sheetName val="Resultados"/>
      <sheetName val="Edo-Comp"/>
      <sheetName val="P Y G"/>
      <sheetName val="Edo-Comp2"/>
      <sheetName val="Edo-Analitico"/>
      <sheetName val="Edo-Varia"/>
      <sheetName val="Edo-Ejerc"/>
      <sheetName val="Creditos"/>
      <sheetName val="Corte"/>
      <sheetName val="Notas"/>
      <sheetName val="Edo-Deuda"/>
      <sheetName val="Balanza"/>
      <sheetName val="Balanza2"/>
      <sheetName val="Rep-Deuda"/>
      <sheetName val="Mov-Banc"/>
      <sheetName val="Existencia"/>
      <sheetName val="Saldos"/>
      <sheetName val="INGRESOS"/>
      <sheetName val="Det-Conc"/>
      <sheetName val="Det-Adm"/>
      <sheetName val="Gastos de Admin."/>
      <sheetName val="Det-Com"/>
      <sheetName val="Gastos de Comer."/>
      <sheetName val="Det-Ope"/>
      <sheetName val="Gastos de Oper."/>
      <sheetName val="Det-San"/>
      <sheetName val="Gastos de Saneam."/>
      <sheetName val="Det-CUA"/>
      <sheetName val="Gastos de Cult Agua"/>
      <sheetName val="Inversiones"/>
      <sheetName val="C.F.E."/>
      <sheetName val="Fact-Cobrado"/>
      <sheetName val="Det-Rez"/>
      <sheetName val="COG"/>
      <sheetName val="Eficiencias"/>
      <sheetName val="Pigoo"/>
      <sheetName val="IG"/>
      <sheetName val="5%"/>
      <sheetName val="Hoja1"/>
    </sheetNames>
    <sheetDataSet>
      <sheetData sheetId="0">
        <row r="1">
          <cell r="A1" t="str">
            <v>JUNTA MUNICIPAL DE AGUA Y SANEAMIENTO DE PARRAL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0">
          <cell r="B10" t="e">
            <v>#VALUE!</v>
          </cell>
        </row>
      </sheetData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es y Catalogos"/>
      <sheetName val="(1) Eficiencia Comercial"/>
      <sheetName val="(2) Eficiencia de Cobro"/>
      <sheetName val="(3) Eficiencia Fisica 1"/>
      <sheetName val="(4) Eficiencia Fisica 2"/>
      <sheetName val="(6) Usuarios Pagos a Tiempo"/>
      <sheetName val="(7) Empleados por cada mil toma"/>
      <sheetName val="(13) Reportes cada mil tomas"/>
      <sheetName val="(14) Emplados cada mil tomas SJ"/>
      <sheetName val="Layouts J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8"/>
  <sheetViews>
    <sheetView tabSelected="1" topLeftCell="A150" zoomScale="85" zoomScaleNormal="85" workbookViewId="0">
      <selection sqref="A1:R188"/>
    </sheetView>
  </sheetViews>
  <sheetFormatPr baseColWidth="10" defaultColWidth="13" defaultRowHeight="15" x14ac:dyDescent="0.25"/>
  <cols>
    <col min="1" max="1" width="84.7109375" style="11" customWidth="1"/>
    <col min="2" max="2" width="22.5703125" style="11" customWidth="1"/>
    <col min="3" max="13" width="20.7109375" style="11" customWidth="1"/>
    <col min="14" max="14" width="19.5703125" style="11" customWidth="1"/>
    <col min="15" max="15" width="24" style="11" hidden="1" customWidth="1"/>
    <col min="16" max="16" width="22.42578125" style="11" hidden="1" customWidth="1"/>
    <col min="17" max="17" width="22.7109375" style="11" hidden="1" customWidth="1"/>
    <col min="18" max="18" width="0" style="11" hidden="1" customWidth="1"/>
    <col min="19" max="257" width="13" style="2"/>
    <col min="258" max="258" width="81.42578125" style="2" bestFit="1" customWidth="1"/>
    <col min="259" max="260" width="17.85546875" style="2" bestFit="1" customWidth="1"/>
    <col min="261" max="271" width="13" style="2"/>
    <col min="272" max="272" width="17" style="2" customWidth="1"/>
    <col min="273" max="273" width="16.7109375" style="2" customWidth="1"/>
    <col min="274" max="513" width="13" style="2"/>
    <col min="514" max="514" width="81.42578125" style="2" bestFit="1" customWidth="1"/>
    <col min="515" max="516" width="17.85546875" style="2" bestFit="1" customWidth="1"/>
    <col min="517" max="527" width="13" style="2"/>
    <col min="528" max="528" width="17" style="2" customWidth="1"/>
    <col min="529" max="529" width="16.7109375" style="2" customWidth="1"/>
    <col min="530" max="769" width="13" style="2"/>
    <col min="770" max="770" width="81.42578125" style="2" bestFit="1" customWidth="1"/>
    <col min="771" max="772" width="17.85546875" style="2" bestFit="1" customWidth="1"/>
    <col min="773" max="783" width="13" style="2"/>
    <col min="784" max="784" width="17" style="2" customWidth="1"/>
    <col min="785" max="785" width="16.7109375" style="2" customWidth="1"/>
    <col min="786" max="1025" width="13" style="2"/>
    <col min="1026" max="1026" width="81.42578125" style="2" bestFit="1" customWidth="1"/>
    <col min="1027" max="1028" width="17.85546875" style="2" bestFit="1" customWidth="1"/>
    <col min="1029" max="1039" width="13" style="2"/>
    <col min="1040" max="1040" width="17" style="2" customWidth="1"/>
    <col min="1041" max="1041" width="16.7109375" style="2" customWidth="1"/>
    <col min="1042" max="1281" width="13" style="2"/>
    <col min="1282" max="1282" width="81.42578125" style="2" bestFit="1" customWidth="1"/>
    <col min="1283" max="1284" width="17.85546875" style="2" bestFit="1" customWidth="1"/>
    <col min="1285" max="1295" width="13" style="2"/>
    <col min="1296" max="1296" width="17" style="2" customWidth="1"/>
    <col min="1297" max="1297" width="16.7109375" style="2" customWidth="1"/>
    <col min="1298" max="1537" width="13" style="2"/>
    <col min="1538" max="1538" width="81.42578125" style="2" bestFit="1" customWidth="1"/>
    <col min="1539" max="1540" width="17.85546875" style="2" bestFit="1" customWidth="1"/>
    <col min="1541" max="1551" width="13" style="2"/>
    <col min="1552" max="1552" width="17" style="2" customWidth="1"/>
    <col min="1553" max="1553" width="16.7109375" style="2" customWidth="1"/>
    <col min="1554" max="1793" width="13" style="2"/>
    <col min="1794" max="1794" width="81.42578125" style="2" bestFit="1" customWidth="1"/>
    <col min="1795" max="1796" width="17.85546875" style="2" bestFit="1" customWidth="1"/>
    <col min="1797" max="1807" width="13" style="2"/>
    <col min="1808" max="1808" width="17" style="2" customWidth="1"/>
    <col min="1809" max="1809" width="16.7109375" style="2" customWidth="1"/>
    <col min="1810" max="2049" width="13" style="2"/>
    <col min="2050" max="2050" width="81.42578125" style="2" bestFit="1" customWidth="1"/>
    <col min="2051" max="2052" width="17.85546875" style="2" bestFit="1" customWidth="1"/>
    <col min="2053" max="2063" width="13" style="2"/>
    <col min="2064" max="2064" width="17" style="2" customWidth="1"/>
    <col min="2065" max="2065" width="16.7109375" style="2" customWidth="1"/>
    <col min="2066" max="2305" width="13" style="2"/>
    <col min="2306" max="2306" width="81.42578125" style="2" bestFit="1" customWidth="1"/>
    <col min="2307" max="2308" width="17.85546875" style="2" bestFit="1" customWidth="1"/>
    <col min="2309" max="2319" width="13" style="2"/>
    <col min="2320" max="2320" width="17" style="2" customWidth="1"/>
    <col min="2321" max="2321" width="16.7109375" style="2" customWidth="1"/>
    <col min="2322" max="2561" width="13" style="2"/>
    <col min="2562" max="2562" width="81.42578125" style="2" bestFit="1" customWidth="1"/>
    <col min="2563" max="2564" width="17.85546875" style="2" bestFit="1" customWidth="1"/>
    <col min="2565" max="2575" width="13" style="2"/>
    <col min="2576" max="2576" width="17" style="2" customWidth="1"/>
    <col min="2577" max="2577" width="16.7109375" style="2" customWidth="1"/>
    <col min="2578" max="2817" width="13" style="2"/>
    <col min="2818" max="2818" width="81.42578125" style="2" bestFit="1" customWidth="1"/>
    <col min="2819" max="2820" width="17.85546875" style="2" bestFit="1" customWidth="1"/>
    <col min="2821" max="2831" width="13" style="2"/>
    <col min="2832" max="2832" width="17" style="2" customWidth="1"/>
    <col min="2833" max="2833" width="16.7109375" style="2" customWidth="1"/>
    <col min="2834" max="3073" width="13" style="2"/>
    <col min="3074" max="3074" width="81.42578125" style="2" bestFit="1" customWidth="1"/>
    <col min="3075" max="3076" width="17.85546875" style="2" bestFit="1" customWidth="1"/>
    <col min="3077" max="3087" width="13" style="2"/>
    <col min="3088" max="3088" width="17" style="2" customWidth="1"/>
    <col min="3089" max="3089" width="16.7109375" style="2" customWidth="1"/>
    <col min="3090" max="3329" width="13" style="2"/>
    <col min="3330" max="3330" width="81.42578125" style="2" bestFit="1" customWidth="1"/>
    <col min="3331" max="3332" width="17.85546875" style="2" bestFit="1" customWidth="1"/>
    <col min="3333" max="3343" width="13" style="2"/>
    <col min="3344" max="3344" width="17" style="2" customWidth="1"/>
    <col min="3345" max="3345" width="16.7109375" style="2" customWidth="1"/>
    <col min="3346" max="3585" width="13" style="2"/>
    <col min="3586" max="3586" width="81.42578125" style="2" bestFit="1" customWidth="1"/>
    <col min="3587" max="3588" width="17.85546875" style="2" bestFit="1" customWidth="1"/>
    <col min="3589" max="3599" width="13" style="2"/>
    <col min="3600" max="3600" width="17" style="2" customWidth="1"/>
    <col min="3601" max="3601" width="16.7109375" style="2" customWidth="1"/>
    <col min="3602" max="3841" width="13" style="2"/>
    <col min="3842" max="3842" width="81.42578125" style="2" bestFit="1" customWidth="1"/>
    <col min="3843" max="3844" width="17.85546875" style="2" bestFit="1" customWidth="1"/>
    <col min="3845" max="3855" width="13" style="2"/>
    <col min="3856" max="3856" width="17" style="2" customWidth="1"/>
    <col min="3857" max="3857" width="16.7109375" style="2" customWidth="1"/>
    <col min="3858" max="4097" width="13" style="2"/>
    <col min="4098" max="4098" width="81.42578125" style="2" bestFit="1" customWidth="1"/>
    <col min="4099" max="4100" width="17.85546875" style="2" bestFit="1" customWidth="1"/>
    <col min="4101" max="4111" width="13" style="2"/>
    <col min="4112" max="4112" width="17" style="2" customWidth="1"/>
    <col min="4113" max="4113" width="16.7109375" style="2" customWidth="1"/>
    <col min="4114" max="4353" width="13" style="2"/>
    <col min="4354" max="4354" width="81.42578125" style="2" bestFit="1" customWidth="1"/>
    <col min="4355" max="4356" width="17.85546875" style="2" bestFit="1" customWidth="1"/>
    <col min="4357" max="4367" width="13" style="2"/>
    <col min="4368" max="4368" width="17" style="2" customWidth="1"/>
    <col min="4369" max="4369" width="16.7109375" style="2" customWidth="1"/>
    <col min="4370" max="4609" width="13" style="2"/>
    <col min="4610" max="4610" width="81.42578125" style="2" bestFit="1" customWidth="1"/>
    <col min="4611" max="4612" width="17.85546875" style="2" bestFit="1" customWidth="1"/>
    <col min="4613" max="4623" width="13" style="2"/>
    <col min="4624" max="4624" width="17" style="2" customWidth="1"/>
    <col min="4625" max="4625" width="16.7109375" style="2" customWidth="1"/>
    <col min="4626" max="4865" width="13" style="2"/>
    <col min="4866" max="4866" width="81.42578125" style="2" bestFit="1" customWidth="1"/>
    <col min="4867" max="4868" width="17.85546875" style="2" bestFit="1" customWidth="1"/>
    <col min="4869" max="4879" width="13" style="2"/>
    <col min="4880" max="4880" width="17" style="2" customWidth="1"/>
    <col min="4881" max="4881" width="16.7109375" style="2" customWidth="1"/>
    <col min="4882" max="5121" width="13" style="2"/>
    <col min="5122" max="5122" width="81.42578125" style="2" bestFit="1" customWidth="1"/>
    <col min="5123" max="5124" width="17.85546875" style="2" bestFit="1" customWidth="1"/>
    <col min="5125" max="5135" width="13" style="2"/>
    <col min="5136" max="5136" width="17" style="2" customWidth="1"/>
    <col min="5137" max="5137" width="16.7109375" style="2" customWidth="1"/>
    <col min="5138" max="5377" width="13" style="2"/>
    <col min="5378" max="5378" width="81.42578125" style="2" bestFit="1" customWidth="1"/>
    <col min="5379" max="5380" width="17.85546875" style="2" bestFit="1" customWidth="1"/>
    <col min="5381" max="5391" width="13" style="2"/>
    <col min="5392" max="5392" width="17" style="2" customWidth="1"/>
    <col min="5393" max="5393" width="16.7109375" style="2" customWidth="1"/>
    <col min="5394" max="5633" width="13" style="2"/>
    <col min="5634" max="5634" width="81.42578125" style="2" bestFit="1" customWidth="1"/>
    <col min="5635" max="5636" width="17.85546875" style="2" bestFit="1" customWidth="1"/>
    <col min="5637" max="5647" width="13" style="2"/>
    <col min="5648" max="5648" width="17" style="2" customWidth="1"/>
    <col min="5649" max="5649" width="16.7109375" style="2" customWidth="1"/>
    <col min="5650" max="5889" width="13" style="2"/>
    <col min="5890" max="5890" width="81.42578125" style="2" bestFit="1" customWidth="1"/>
    <col min="5891" max="5892" width="17.85546875" style="2" bestFit="1" customWidth="1"/>
    <col min="5893" max="5903" width="13" style="2"/>
    <col min="5904" max="5904" width="17" style="2" customWidth="1"/>
    <col min="5905" max="5905" width="16.7109375" style="2" customWidth="1"/>
    <col min="5906" max="6145" width="13" style="2"/>
    <col min="6146" max="6146" width="81.42578125" style="2" bestFit="1" customWidth="1"/>
    <col min="6147" max="6148" width="17.85546875" style="2" bestFit="1" customWidth="1"/>
    <col min="6149" max="6159" width="13" style="2"/>
    <col min="6160" max="6160" width="17" style="2" customWidth="1"/>
    <col min="6161" max="6161" width="16.7109375" style="2" customWidth="1"/>
    <col min="6162" max="6401" width="13" style="2"/>
    <col min="6402" max="6402" width="81.42578125" style="2" bestFit="1" customWidth="1"/>
    <col min="6403" max="6404" width="17.85546875" style="2" bestFit="1" customWidth="1"/>
    <col min="6405" max="6415" width="13" style="2"/>
    <col min="6416" max="6416" width="17" style="2" customWidth="1"/>
    <col min="6417" max="6417" width="16.7109375" style="2" customWidth="1"/>
    <col min="6418" max="6657" width="13" style="2"/>
    <col min="6658" max="6658" width="81.42578125" style="2" bestFit="1" customWidth="1"/>
    <col min="6659" max="6660" width="17.85546875" style="2" bestFit="1" customWidth="1"/>
    <col min="6661" max="6671" width="13" style="2"/>
    <col min="6672" max="6672" width="17" style="2" customWidth="1"/>
    <col min="6673" max="6673" width="16.7109375" style="2" customWidth="1"/>
    <col min="6674" max="6913" width="13" style="2"/>
    <col min="6914" max="6914" width="81.42578125" style="2" bestFit="1" customWidth="1"/>
    <col min="6915" max="6916" width="17.85546875" style="2" bestFit="1" customWidth="1"/>
    <col min="6917" max="6927" width="13" style="2"/>
    <col min="6928" max="6928" width="17" style="2" customWidth="1"/>
    <col min="6929" max="6929" width="16.7109375" style="2" customWidth="1"/>
    <col min="6930" max="7169" width="13" style="2"/>
    <col min="7170" max="7170" width="81.42578125" style="2" bestFit="1" customWidth="1"/>
    <col min="7171" max="7172" width="17.85546875" style="2" bestFit="1" customWidth="1"/>
    <col min="7173" max="7183" width="13" style="2"/>
    <col min="7184" max="7184" width="17" style="2" customWidth="1"/>
    <col min="7185" max="7185" width="16.7109375" style="2" customWidth="1"/>
    <col min="7186" max="7425" width="13" style="2"/>
    <col min="7426" max="7426" width="81.42578125" style="2" bestFit="1" customWidth="1"/>
    <col min="7427" max="7428" width="17.85546875" style="2" bestFit="1" customWidth="1"/>
    <col min="7429" max="7439" width="13" style="2"/>
    <col min="7440" max="7440" width="17" style="2" customWidth="1"/>
    <col min="7441" max="7441" width="16.7109375" style="2" customWidth="1"/>
    <col min="7442" max="7681" width="13" style="2"/>
    <col min="7682" max="7682" width="81.42578125" style="2" bestFit="1" customWidth="1"/>
    <col min="7683" max="7684" width="17.85546875" style="2" bestFit="1" customWidth="1"/>
    <col min="7685" max="7695" width="13" style="2"/>
    <col min="7696" max="7696" width="17" style="2" customWidth="1"/>
    <col min="7697" max="7697" width="16.7109375" style="2" customWidth="1"/>
    <col min="7698" max="7937" width="13" style="2"/>
    <col min="7938" max="7938" width="81.42578125" style="2" bestFit="1" customWidth="1"/>
    <col min="7939" max="7940" width="17.85546875" style="2" bestFit="1" customWidth="1"/>
    <col min="7941" max="7951" width="13" style="2"/>
    <col min="7952" max="7952" width="17" style="2" customWidth="1"/>
    <col min="7953" max="7953" width="16.7109375" style="2" customWidth="1"/>
    <col min="7954" max="8193" width="13" style="2"/>
    <col min="8194" max="8194" width="81.42578125" style="2" bestFit="1" customWidth="1"/>
    <col min="8195" max="8196" width="17.85546875" style="2" bestFit="1" customWidth="1"/>
    <col min="8197" max="8207" width="13" style="2"/>
    <col min="8208" max="8208" width="17" style="2" customWidth="1"/>
    <col min="8209" max="8209" width="16.7109375" style="2" customWidth="1"/>
    <col min="8210" max="8449" width="13" style="2"/>
    <col min="8450" max="8450" width="81.42578125" style="2" bestFit="1" customWidth="1"/>
    <col min="8451" max="8452" width="17.85546875" style="2" bestFit="1" customWidth="1"/>
    <col min="8453" max="8463" width="13" style="2"/>
    <col min="8464" max="8464" width="17" style="2" customWidth="1"/>
    <col min="8465" max="8465" width="16.7109375" style="2" customWidth="1"/>
    <col min="8466" max="8705" width="13" style="2"/>
    <col min="8706" max="8706" width="81.42578125" style="2" bestFit="1" customWidth="1"/>
    <col min="8707" max="8708" width="17.85546875" style="2" bestFit="1" customWidth="1"/>
    <col min="8709" max="8719" width="13" style="2"/>
    <col min="8720" max="8720" width="17" style="2" customWidth="1"/>
    <col min="8721" max="8721" width="16.7109375" style="2" customWidth="1"/>
    <col min="8722" max="8961" width="13" style="2"/>
    <col min="8962" max="8962" width="81.42578125" style="2" bestFit="1" customWidth="1"/>
    <col min="8963" max="8964" width="17.85546875" style="2" bestFit="1" customWidth="1"/>
    <col min="8965" max="8975" width="13" style="2"/>
    <col min="8976" max="8976" width="17" style="2" customWidth="1"/>
    <col min="8977" max="8977" width="16.7109375" style="2" customWidth="1"/>
    <col min="8978" max="9217" width="13" style="2"/>
    <col min="9218" max="9218" width="81.42578125" style="2" bestFit="1" customWidth="1"/>
    <col min="9219" max="9220" width="17.85546875" style="2" bestFit="1" customWidth="1"/>
    <col min="9221" max="9231" width="13" style="2"/>
    <col min="9232" max="9232" width="17" style="2" customWidth="1"/>
    <col min="9233" max="9233" width="16.7109375" style="2" customWidth="1"/>
    <col min="9234" max="9473" width="13" style="2"/>
    <col min="9474" max="9474" width="81.42578125" style="2" bestFit="1" customWidth="1"/>
    <col min="9475" max="9476" width="17.85546875" style="2" bestFit="1" customWidth="1"/>
    <col min="9477" max="9487" width="13" style="2"/>
    <col min="9488" max="9488" width="17" style="2" customWidth="1"/>
    <col min="9489" max="9489" width="16.7109375" style="2" customWidth="1"/>
    <col min="9490" max="9729" width="13" style="2"/>
    <col min="9730" max="9730" width="81.42578125" style="2" bestFit="1" customWidth="1"/>
    <col min="9731" max="9732" width="17.85546875" style="2" bestFit="1" customWidth="1"/>
    <col min="9733" max="9743" width="13" style="2"/>
    <col min="9744" max="9744" width="17" style="2" customWidth="1"/>
    <col min="9745" max="9745" width="16.7109375" style="2" customWidth="1"/>
    <col min="9746" max="9985" width="13" style="2"/>
    <col min="9986" max="9986" width="81.42578125" style="2" bestFit="1" customWidth="1"/>
    <col min="9987" max="9988" width="17.85546875" style="2" bestFit="1" customWidth="1"/>
    <col min="9989" max="9999" width="13" style="2"/>
    <col min="10000" max="10000" width="17" style="2" customWidth="1"/>
    <col min="10001" max="10001" width="16.7109375" style="2" customWidth="1"/>
    <col min="10002" max="10241" width="13" style="2"/>
    <col min="10242" max="10242" width="81.42578125" style="2" bestFit="1" customWidth="1"/>
    <col min="10243" max="10244" width="17.85546875" style="2" bestFit="1" customWidth="1"/>
    <col min="10245" max="10255" width="13" style="2"/>
    <col min="10256" max="10256" width="17" style="2" customWidth="1"/>
    <col min="10257" max="10257" width="16.7109375" style="2" customWidth="1"/>
    <col min="10258" max="10497" width="13" style="2"/>
    <col min="10498" max="10498" width="81.42578125" style="2" bestFit="1" customWidth="1"/>
    <col min="10499" max="10500" width="17.85546875" style="2" bestFit="1" customWidth="1"/>
    <col min="10501" max="10511" width="13" style="2"/>
    <col min="10512" max="10512" width="17" style="2" customWidth="1"/>
    <col min="10513" max="10513" width="16.7109375" style="2" customWidth="1"/>
    <col min="10514" max="10753" width="13" style="2"/>
    <col min="10754" max="10754" width="81.42578125" style="2" bestFit="1" customWidth="1"/>
    <col min="10755" max="10756" width="17.85546875" style="2" bestFit="1" customWidth="1"/>
    <col min="10757" max="10767" width="13" style="2"/>
    <col min="10768" max="10768" width="17" style="2" customWidth="1"/>
    <col min="10769" max="10769" width="16.7109375" style="2" customWidth="1"/>
    <col min="10770" max="11009" width="13" style="2"/>
    <col min="11010" max="11010" width="81.42578125" style="2" bestFit="1" customWidth="1"/>
    <col min="11011" max="11012" width="17.85546875" style="2" bestFit="1" customWidth="1"/>
    <col min="11013" max="11023" width="13" style="2"/>
    <col min="11024" max="11024" width="17" style="2" customWidth="1"/>
    <col min="11025" max="11025" width="16.7109375" style="2" customWidth="1"/>
    <col min="11026" max="11265" width="13" style="2"/>
    <col min="11266" max="11266" width="81.42578125" style="2" bestFit="1" customWidth="1"/>
    <col min="11267" max="11268" width="17.85546875" style="2" bestFit="1" customWidth="1"/>
    <col min="11269" max="11279" width="13" style="2"/>
    <col min="11280" max="11280" width="17" style="2" customWidth="1"/>
    <col min="11281" max="11281" width="16.7109375" style="2" customWidth="1"/>
    <col min="11282" max="11521" width="13" style="2"/>
    <col min="11522" max="11522" width="81.42578125" style="2" bestFit="1" customWidth="1"/>
    <col min="11523" max="11524" width="17.85546875" style="2" bestFit="1" customWidth="1"/>
    <col min="11525" max="11535" width="13" style="2"/>
    <col min="11536" max="11536" width="17" style="2" customWidth="1"/>
    <col min="11537" max="11537" width="16.7109375" style="2" customWidth="1"/>
    <col min="11538" max="11777" width="13" style="2"/>
    <col min="11778" max="11778" width="81.42578125" style="2" bestFit="1" customWidth="1"/>
    <col min="11779" max="11780" width="17.85546875" style="2" bestFit="1" customWidth="1"/>
    <col min="11781" max="11791" width="13" style="2"/>
    <col min="11792" max="11792" width="17" style="2" customWidth="1"/>
    <col min="11793" max="11793" width="16.7109375" style="2" customWidth="1"/>
    <col min="11794" max="12033" width="13" style="2"/>
    <col min="12034" max="12034" width="81.42578125" style="2" bestFit="1" customWidth="1"/>
    <col min="12035" max="12036" width="17.85546875" style="2" bestFit="1" customWidth="1"/>
    <col min="12037" max="12047" width="13" style="2"/>
    <col min="12048" max="12048" width="17" style="2" customWidth="1"/>
    <col min="12049" max="12049" width="16.7109375" style="2" customWidth="1"/>
    <col min="12050" max="12289" width="13" style="2"/>
    <col min="12290" max="12290" width="81.42578125" style="2" bestFit="1" customWidth="1"/>
    <col min="12291" max="12292" width="17.85546875" style="2" bestFit="1" customWidth="1"/>
    <col min="12293" max="12303" width="13" style="2"/>
    <col min="12304" max="12304" width="17" style="2" customWidth="1"/>
    <col min="12305" max="12305" width="16.7109375" style="2" customWidth="1"/>
    <col min="12306" max="12545" width="13" style="2"/>
    <col min="12546" max="12546" width="81.42578125" style="2" bestFit="1" customWidth="1"/>
    <col min="12547" max="12548" width="17.85546875" style="2" bestFit="1" customWidth="1"/>
    <col min="12549" max="12559" width="13" style="2"/>
    <col min="12560" max="12560" width="17" style="2" customWidth="1"/>
    <col min="12561" max="12561" width="16.7109375" style="2" customWidth="1"/>
    <col min="12562" max="12801" width="13" style="2"/>
    <col min="12802" max="12802" width="81.42578125" style="2" bestFit="1" customWidth="1"/>
    <col min="12803" max="12804" width="17.85546875" style="2" bestFit="1" customWidth="1"/>
    <col min="12805" max="12815" width="13" style="2"/>
    <col min="12816" max="12816" width="17" style="2" customWidth="1"/>
    <col min="12817" max="12817" width="16.7109375" style="2" customWidth="1"/>
    <col min="12818" max="13057" width="13" style="2"/>
    <col min="13058" max="13058" width="81.42578125" style="2" bestFit="1" customWidth="1"/>
    <col min="13059" max="13060" width="17.85546875" style="2" bestFit="1" customWidth="1"/>
    <col min="13061" max="13071" width="13" style="2"/>
    <col min="13072" max="13072" width="17" style="2" customWidth="1"/>
    <col min="13073" max="13073" width="16.7109375" style="2" customWidth="1"/>
    <col min="13074" max="13313" width="13" style="2"/>
    <col min="13314" max="13314" width="81.42578125" style="2" bestFit="1" customWidth="1"/>
    <col min="13315" max="13316" width="17.85546875" style="2" bestFit="1" customWidth="1"/>
    <col min="13317" max="13327" width="13" style="2"/>
    <col min="13328" max="13328" width="17" style="2" customWidth="1"/>
    <col min="13329" max="13329" width="16.7109375" style="2" customWidth="1"/>
    <col min="13330" max="13569" width="13" style="2"/>
    <col min="13570" max="13570" width="81.42578125" style="2" bestFit="1" customWidth="1"/>
    <col min="13571" max="13572" width="17.85546875" style="2" bestFit="1" customWidth="1"/>
    <col min="13573" max="13583" width="13" style="2"/>
    <col min="13584" max="13584" width="17" style="2" customWidth="1"/>
    <col min="13585" max="13585" width="16.7109375" style="2" customWidth="1"/>
    <col min="13586" max="13825" width="13" style="2"/>
    <col min="13826" max="13826" width="81.42578125" style="2" bestFit="1" customWidth="1"/>
    <col min="13827" max="13828" width="17.85546875" style="2" bestFit="1" customWidth="1"/>
    <col min="13829" max="13839" width="13" style="2"/>
    <col min="13840" max="13840" width="17" style="2" customWidth="1"/>
    <col min="13841" max="13841" width="16.7109375" style="2" customWidth="1"/>
    <col min="13842" max="14081" width="13" style="2"/>
    <col min="14082" max="14082" width="81.42578125" style="2" bestFit="1" customWidth="1"/>
    <col min="14083" max="14084" width="17.85546875" style="2" bestFit="1" customWidth="1"/>
    <col min="14085" max="14095" width="13" style="2"/>
    <col min="14096" max="14096" width="17" style="2" customWidth="1"/>
    <col min="14097" max="14097" width="16.7109375" style="2" customWidth="1"/>
    <col min="14098" max="14337" width="13" style="2"/>
    <col min="14338" max="14338" width="81.42578125" style="2" bestFit="1" customWidth="1"/>
    <col min="14339" max="14340" width="17.85546875" style="2" bestFit="1" customWidth="1"/>
    <col min="14341" max="14351" width="13" style="2"/>
    <col min="14352" max="14352" width="17" style="2" customWidth="1"/>
    <col min="14353" max="14353" width="16.7109375" style="2" customWidth="1"/>
    <col min="14354" max="14593" width="13" style="2"/>
    <col min="14594" max="14594" width="81.42578125" style="2" bestFit="1" customWidth="1"/>
    <col min="14595" max="14596" width="17.85546875" style="2" bestFit="1" customWidth="1"/>
    <col min="14597" max="14607" width="13" style="2"/>
    <col min="14608" max="14608" width="17" style="2" customWidth="1"/>
    <col min="14609" max="14609" width="16.7109375" style="2" customWidth="1"/>
    <col min="14610" max="14849" width="13" style="2"/>
    <col min="14850" max="14850" width="81.42578125" style="2" bestFit="1" customWidth="1"/>
    <col min="14851" max="14852" width="17.85546875" style="2" bestFit="1" customWidth="1"/>
    <col min="14853" max="14863" width="13" style="2"/>
    <col min="14864" max="14864" width="17" style="2" customWidth="1"/>
    <col min="14865" max="14865" width="16.7109375" style="2" customWidth="1"/>
    <col min="14866" max="15105" width="13" style="2"/>
    <col min="15106" max="15106" width="81.42578125" style="2" bestFit="1" customWidth="1"/>
    <col min="15107" max="15108" width="17.85546875" style="2" bestFit="1" customWidth="1"/>
    <col min="15109" max="15119" width="13" style="2"/>
    <col min="15120" max="15120" width="17" style="2" customWidth="1"/>
    <col min="15121" max="15121" width="16.7109375" style="2" customWidth="1"/>
    <col min="15122" max="15361" width="13" style="2"/>
    <col min="15362" max="15362" width="81.42578125" style="2" bestFit="1" customWidth="1"/>
    <col min="15363" max="15364" width="17.85546875" style="2" bestFit="1" customWidth="1"/>
    <col min="15365" max="15375" width="13" style="2"/>
    <col min="15376" max="15376" width="17" style="2" customWidth="1"/>
    <col min="15377" max="15377" width="16.7109375" style="2" customWidth="1"/>
    <col min="15378" max="15617" width="13" style="2"/>
    <col min="15618" max="15618" width="81.42578125" style="2" bestFit="1" customWidth="1"/>
    <col min="15619" max="15620" width="17.85546875" style="2" bestFit="1" customWidth="1"/>
    <col min="15621" max="15631" width="13" style="2"/>
    <col min="15632" max="15632" width="17" style="2" customWidth="1"/>
    <col min="15633" max="15633" width="16.7109375" style="2" customWidth="1"/>
    <col min="15634" max="15873" width="13" style="2"/>
    <col min="15874" max="15874" width="81.42578125" style="2" bestFit="1" customWidth="1"/>
    <col min="15875" max="15876" width="17.85546875" style="2" bestFit="1" customWidth="1"/>
    <col min="15877" max="15887" width="13" style="2"/>
    <col min="15888" max="15888" width="17" style="2" customWidth="1"/>
    <col min="15889" max="15889" width="16.7109375" style="2" customWidth="1"/>
    <col min="15890" max="16129" width="13" style="2"/>
    <col min="16130" max="16130" width="81.42578125" style="2" bestFit="1" customWidth="1"/>
    <col min="16131" max="16132" width="17.85546875" style="2" bestFit="1" customWidth="1"/>
    <col min="16133" max="16143" width="13" style="2"/>
    <col min="16144" max="16144" width="17" style="2" customWidth="1"/>
    <col min="16145" max="16145" width="16.7109375" style="2" customWidth="1"/>
    <col min="16146" max="16384" width="13" style="2"/>
  </cols>
  <sheetData>
    <row r="1" spans="1:1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3.25" x14ac:dyDescent="0.3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.75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</row>
    <row r="9" spans="1:18" ht="47.25" x14ac:dyDescent="0.25">
      <c r="A9" s="12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3" t="s">
        <v>18</v>
      </c>
      <c r="P9" s="13" t="s">
        <v>19</v>
      </c>
      <c r="Q9" s="13" t="s">
        <v>20</v>
      </c>
      <c r="R9" s="14" t="s">
        <v>21</v>
      </c>
    </row>
    <row r="10" spans="1:18" ht="15.75" x14ac:dyDescent="0.25">
      <c r="A10" s="15" t="s">
        <v>22</v>
      </c>
      <c r="B10" s="16">
        <f>+B11+B19</f>
        <v>17390442.68</v>
      </c>
      <c r="C10" s="16">
        <f>+C11+C19</f>
        <v>12915717.880000001</v>
      </c>
      <c r="D10" s="16">
        <f t="shared" ref="D10:N10" si="0">+D11+D19</f>
        <v>12909375.749999998</v>
      </c>
      <c r="E10" s="16">
        <f t="shared" si="0"/>
        <v>10797666.279999999</v>
      </c>
      <c r="F10" s="16">
        <f t="shared" si="0"/>
        <v>12898508.719999999</v>
      </c>
      <c r="G10" s="16">
        <f t="shared" si="0"/>
        <v>12583960.800000001</v>
      </c>
      <c r="H10" s="16">
        <f t="shared" si="0"/>
        <v>12879910.829999998</v>
      </c>
      <c r="I10" s="16">
        <f t="shared" si="0"/>
        <v>13573137.91</v>
      </c>
      <c r="J10" s="16">
        <f t="shared" si="0"/>
        <v>13165905.33</v>
      </c>
      <c r="K10" s="16">
        <f t="shared" si="0"/>
        <v>13742586.100000001</v>
      </c>
      <c r="L10" s="16">
        <f t="shared" si="0"/>
        <v>13397811.130000005</v>
      </c>
      <c r="M10" s="16">
        <f t="shared" si="0"/>
        <v>12555579.440000001</v>
      </c>
      <c r="N10" s="16">
        <f t="shared" si="0"/>
        <v>158810602.84999996</v>
      </c>
      <c r="O10" s="16">
        <f>+O11+O19</f>
        <v>160255817.28</v>
      </c>
      <c r="P10" s="16">
        <f>+P11+P19</f>
        <v>160255817.28</v>
      </c>
      <c r="Q10" s="16">
        <f>+N10-P10</f>
        <v>-1445214.430000037</v>
      </c>
      <c r="R10" s="17">
        <f>+N10/O10</f>
        <v>0.99098182858800721</v>
      </c>
    </row>
    <row r="11" spans="1:18" x14ac:dyDescent="0.25">
      <c r="A11" s="18" t="s">
        <v>23</v>
      </c>
      <c r="B11" s="19">
        <f>+B13+B16+B17</f>
        <v>17259411.27</v>
      </c>
      <c r="C11" s="19">
        <f>+C13+C16+C17</f>
        <v>12714002.200000001</v>
      </c>
      <c r="D11" s="19">
        <f t="shared" ref="D11:N11" si="1">+D13+D16+D17</f>
        <v>12635019.669999998</v>
      </c>
      <c r="E11" s="19">
        <f t="shared" si="1"/>
        <v>10599990.83</v>
      </c>
      <c r="F11" s="19">
        <f t="shared" si="1"/>
        <v>12750112.6</v>
      </c>
      <c r="G11" s="19">
        <f t="shared" si="1"/>
        <v>12450306.57</v>
      </c>
      <c r="H11" s="19">
        <f t="shared" si="1"/>
        <v>12746476.479999999</v>
      </c>
      <c r="I11" s="19">
        <f t="shared" si="1"/>
        <v>13443365.9</v>
      </c>
      <c r="J11" s="19">
        <f t="shared" si="1"/>
        <v>13044613.939999999</v>
      </c>
      <c r="K11" s="19">
        <f t="shared" si="1"/>
        <v>13632345.130000001</v>
      </c>
      <c r="L11" s="19">
        <f t="shared" si="1"/>
        <v>13144879.710000005</v>
      </c>
      <c r="M11" s="19">
        <f t="shared" si="1"/>
        <v>12503237.540000001</v>
      </c>
      <c r="N11" s="19">
        <f t="shared" si="1"/>
        <v>156923761.83999997</v>
      </c>
      <c r="O11" s="19">
        <f>+O13+O16+O17</f>
        <v>151197527.16</v>
      </c>
      <c r="P11" s="19">
        <f>+P13</f>
        <v>151197527.16</v>
      </c>
      <c r="Q11" s="19">
        <f>+N11-P11</f>
        <v>5726234.6799999774</v>
      </c>
      <c r="R11" s="20">
        <f>+N10/O10</f>
        <v>0.99098182858800721</v>
      </c>
    </row>
    <row r="12" spans="1:18" x14ac:dyDescent="0.25">
      <c r="A12" s="18" t="s">
        <v>24</v>
      </c>
      <c r="B12" s="19">
        <f>+B14+B16+B17</f>
        <v>16667371.219999999</v>
      </c>
      <c r="C12" s="19">
        <f>+C14+C16+C17</f>
        <v>12223870.210000001</v>
      </c>
      <c r="D12" s="19">
        <f t="shared" ref="D12:N12" si="2">+D14+D16+D17</f>
        <v>12168050.389999999</v>
      </c>
      <c r="E12" s="19">
        <f t="shared" si="2"/>
        <v>10241126.4</v>
      </c>
      <c r="F12" s="19">
        <f t="shared" si="2"/>
        <v>12159945.52</v>
      </c>
      <c r="G12" s="19">
        <f t="shared" si="2"/>
        <v>11740878.67</v>
      </c>
      <c r="H12" s="19">
        <f t="shared" si="2"/>
        <v>12168949.199999999</v>
      </c>
      <c r="I12" s="19">
        <f t="shared" si="2"/>
        <v>12707900.76</v>
      </c>
      <c r="J12" s="19">
        <f t="shared" si="2"/>
        <v>12327274.869999999</v>
      </c>
      <c r="K12" s="19">
        <f t="shared" si="2"/>
        <v>12986902.380000001</v>
      </c>
      <c r="L12" s="19">
        <f t="shared" si="2"/>
        <v>12295575.790000003</v>
      </c>
      <c r="M12" s="19">
        <f t="shared" si="2"/>
        <v>11548257.700000001</v>
      </c>
      <c r="N12" s="19">
        <f t="shared" si="2"/>
        <v>149236103.10999998</v>
      </c>
      <c r="O12" s="21">
        <v>150166752.72</v>
      </c>
      <c r="P12" s="19">
        <f>+O12/12*$R$20</f>
        <v>150166752.72</v>
      </c>
      <c r="Q12" s="19">
        <f>+N12-P12</f>
        <v>-930649.61000001431</v>
      </c>
      <c r="R12" s="20">
        <f>+N11/O11</f>
        <v>1.0378725418831776</v>
      </c>
    </row>
    <row r="13" spans="1:18" x14ac:dyDescent="0.25">
      <c r="A13" s="22" t="s">
        <v>25</v>
      </c>
      <c r="B13" s="19">
        <f>+B14+B15</f>
        <v>22510651.320000067</v>
      </c>
      <c r="C13" s="19">
        <f>+C14+C15</f>
        <v>15216211.200000035</v>
      </c>
      <c r="D13" s="19">
        <f t="shared" ref="D13:N13" si="3">+D14+D15</f>
        <v>14557243.039999999</v>
      </c>
      <c r="E13" s="19">
        <f t="shared" si="3"/>
        <v>11825430.880000051</v>
      </c>
      <c r="F13" s="19">
        <f t="shared" si="3"/>
        <v>14208327.039999999</v>
      </c>
      <c r="G13" s="19">
        <f t="shared" si="3"/>
        <v>13764815.259999942</v>
      </c>
      <c r="H13" s="19">
        <f t="shared" si="3"/>
        <v>14190554.170000006</v>
      </c>
      <c r="I13" s="19">
        <f t="shared" si="3"/>
        <v>14792626.919999998</v>
      </c>
      <c r="J13" s="19">
        <f t="shared" si="3"/>
        <v>14455010.570000002</v>
      </c>
      <c r="K13" s="19">
        <f t="shared" si="3"/>
        <v>18723395.409999944</v>
      </c>
      <c r="L13" s="19">
        <f t="shared" si="3"/>
        <v>33379219.779999971</v>
      </c>
      <c r="M13" s="19">
        <f t="shared" si="3"/>
        <v>18463962.84</v>
      </c>
      <c r="N13" s="19">
        <f t="shared" si="3"/>
        <v>206087448.42999998</v>
      </c>
      <c r="O13" s="19">
        <f>+O12+O15</f>
        <v>151197527.16</v>
      </c>
      <c r="P13" s="19">
        <f>+P12+P15</f>
        <v>151197527.16</v>
      </c>
      <c r="Q13" s="19">
        <f>+N13-P13</f>
        <v>54889921.269999981</v>
      </c>
      <c r="R13" s="20">
        <f>+N12/O12</f>
        <v>0.99380255886777213</v>
      </c>
    </row>
    <row r="14" spans="1:18" x14ac:dyDescent="0.25">
      <c r="A14" s="23" t="s">
        <v>26</v>
      </c>
      <c r="B14" s="21">
        <f>16667371.22-B16-B17</f>
        <v>21918611.270000067</v>
      </c>
      <c r="C14" s="21">
        <f>12223870.21-C16-C17</f>
        <v>14726079.210000034</v>
      </c>
      <c r="D14" s="21">
        <v>14090273.76</v>
      </c>
      <c r="E14" s="21">
        <f>10241126.4-E16-E17</f>
        <v>11466566.450000051</v>
      </c>
      <c r="F14" s="21">
        <f>12159945.52-F16-F17</f>
        <v>13618159.959999999</v>
      </c>
      <c r="G14" s="21">
        <f>11740878.67-G16-G17</f>
        <v>13055387.359999942</v>
      </c>
      <c r="H14" s="21">
        <f>12168949.2-H16-H17</f>
        <v>13613026.890000006</v>
      </c>
      <c r="I14" s="21">
        <f>12707900.76-I16-I17</f>
        <v>14057161.779999997</v>
      </c>
      <c r="J14" s="21">
        <f>12327274.87-J16-J17</f>
        <v>13737671.500000002</v>
      </c>
      <c r="K14" s="21">
        <f>12986902.38-K16-K17</f>
        <v>18077952.659999944</v>
      </c>
      <c r="L14" s="21">
        <f>12295575.79-L16-L17</f>
        <v>32529915.85999997</v>
      </c>
      <c r="M14" s="21">
        <f>11548257.7-M16-M17</f>
        <v>17508983</v>
      </c>
      <c r="N14" s="19">
        <f t="shared" ref="N14:N19" si="4">SUM(B14:M14)</f>
        <v>198399789.69999999</v>
      </c>
      <c r="O14" s="19"/>
      <c r="P14" s="19"/>
      <c r="Q14" s="19"/>
      <c r="R14" s="20"/>
    </row>
    <row r="15" spans="1:18" x14ac:dyDescent="0.25">
      <c r="A15" s="23" t="s">
        <v>27</v>
      </c>
      <c r="B15" s="21">
        <v>592040.049999999</v>
      </c>
      <c r="C15" s="21">
        <v>490131.99</v>
      </c>
      <c r="D15" s="21">
        <v>466969.28</v>
      </c>
      <c r="E15" s="21">
        <v>358864.43</v>
      </c>
      <c r="F15" s="21">
        <v>590167.07999999996</v>
      </c>
      <c r="G15" s="21">
        <v>709427.9</v>
      </c>
      <c r="H15" s="21">
        <v>577527.28</v>
      </c>
      <c r="I15" s="21">
        <v>735465.14</v>
      </c>
      <c r="J15" s="21">
        <v>717339.07</v>
      </c>
      <c r="K15" s="21">
        <v>645442.75</v>
      </c>
      <c r="L15" s="21">
        <v>849303.92</v>
      </c>
      <c r="M15" s="21">
        <v>954979.83999999997</v>
      </c>
      <c r="N15" s="19">
        <f t="shared" si="4"/>
        <v>7687658.7299999986</v>
      </c>
      <c r="O15" s="21">
        <v>1030774.44</v>
      </c>
      <c r="P15" s="19">
        <f>+O15/12*$R$20</f>
        <v>1030774.44</v>
      </c>
      <c r="Q15" s="19">
        <f>+N15-P15</f>
        <v>6656884.2899999991</v>
      </c>
      <c r="R15" s="20">
        <f>+N15/O15</f>
        <v>7.4581386884214931</v>
      </c>
    </row>
    <row r="16" spans="1:18" x14ac:dyDescent="0.25">
      <c r="A16" s="24" t="s">
        <v>28</v>
      </c>
      <c r="B16" s="25">
        <v>-4877968.9300000668</v>
      </c>
      <c r="C16" s="25">
        <v>-2213534.4700000337</v>
      </c>
      <c r="D16" s="25">
        <v>-1668264.81</v>
      </c>
      <c r="E16" s="25">
        <v>-1105458.4300000512</v>
      </c>
      <c r="F16" s="25">
        <v>-1287222.8600000001</v>
      </c>
      <c r="G16" s="25">
        <v>-1179365.9899999432</v>
      </c>
      <c r="H16" s="25">
        <v>-1315491.390000006</v>
      </c>
      <c r="I16" s="25">
        <v>-1261075.3699999973</v>
      </c>
      <c r="J16" s="25">
        <v>-1279333.7400000019</v>
      </c>
      <c r="K16" s="25">
        <v>-1360976.7299999453</v>
      </c>
      <c r="L16" s="25">
        <v>-1269790.6799999939</v>
      </c>
      <c r="M16" s="25">
        <v>-1321809.7599999972</v>
      </c>
      <c r="N16" s="19">
        <f t="shared" si="4"/>
        <v>-20140293.160000037</v>
      </c>
      <c r="O16" s="19"/>
      <c r="P16" s="19"/>
      <c r="Q16" s="19"/>
      <c r="R16" s="20"/>
    </row>
    <row r="17" spans="1:18" x14ac:dyDescent="0.25">
      <c r="A17" s="24" t="s">
        <v>29</v>
      </c>
      <c r="B17" s="25">
        <v>-373271.12000000011</v>
      </c>
      <c r="C17" s="25">
        <v>-288674.52999999997</v>
      </c>
      <c r="D17" s="25">
        <v>-253958.56</v>
      </c>
      <c r="E17" s="25">
        <v>-119981.61999999997</v>
      </c>
      <c r="F17" s="25">
        <v>-170991.58</v>
      </c>
      <c r="G17" s="25">
        <v>-135142.69999999998</v>
      </c>
      <c r="H17" s="25">
        <v>-128586.30000000002</v>
      </c>
      <c r="I17" s="25">
        <v>-88185.650000000009</v>
      </c>
      <c r="J17" s="25">
        <v>-131062.89000000001</v>
      </c>
      <c r="K17" s="25">
        <v>-3730073.5499999993</v>
      </c>
      <c r="L17" s="25">
        <v>-18964549.389999975</v>
      </c>
      <c r="M17" s="25">
        <v>-4638915.540000001</v>
      </c>
      <c r="N17" s="19">
        <f t="shared" si="4"/>
        <v>-29023393.429999977</v>
      </c>
      <c r="O17" s="19"/>
      <c r="P17" s="19"/>
      <c r="Q17" s="19"/>
      <c r="R17" s="20"/>
    </row>
    <row r="18" spans="1:18" x14ac:dyDescent="0.25">
      <c r="A18" s="24" t="s">
        <v>30</v>
      </c>
      <c r="B18" s="26">
        <v>-133774.89000000001</v>
      </c>
      <c r="C18" s="26">
        <v>-171475.57999999996</v>
      </c>
      <c r="D18" s="26">
        <v>-239206.52000000002</v>
      </c>
      <c r="E18" s="26">
        <v>-230373.22000000003</v>
      </c>
      <c r="F18" s="26">
        <v>-191448.52000000002</v>
      </c>
      <c r="G18" s="26">
        <v>-216839.65</v>
      </c>
      <c r="H18" s="26">
        <v>-162506.99</v>
      </c>
      <c r="I18" s="26">
        <v>-242826.9</v>
      </c>
      <c r="J18" s="26">
        <v>-173431.33999999991</v>
      </c>
      <c r="K18" s="26">
        <v>-260107.84</v>
      </c>
      <c r="L18" s="26">
        <v>-276509.64999999997</v>
      </c>
      <c r="M18" s="26">
        <v>-165513.78000000003</v>
      </c>
      <c r="N18" s="19">
        <f t="shared" si="4"/>
        <v>-2464014.88</v>
      </c>
      <c r="O18" s="19"/>
      <c r="P18" s="19"/>
      <c r="Q18" s="19"/>
      <c r="R18" s="20"/>
    </row>
    <row r="19" spans="1:18" x14ac:dyDescent="0.25">
      <c r="A19" s="27" t="s">
        <v>31</v>
      </c>
      <c r="B19" s="21">
        <v>131031.41</v>
      </c>
      <c r="C19" s="21">
        <v>201715.68</v>
      </c>
      <c r="D19" s="21">
        <v>274356.08</v>
      </c>
      <c r="E19" s="21">
        <v>197675.45</v>
      </c>
      <c r="F19" s="21">
        <v>148396.12</v>
      </c>
      <c r="G19" s="21">
        <v>133654.23000000001</v>
      </c>
      <c r="H19" s="21">
        <v>133434.35</v>
      </c>
      <c r="I19" s="21">
        <v>129772.01</v>
      </c>
      <c r="J19" s="21">
        <v>121291.39</v>
      </c>
      <c r="K19" s="21">
        <v>110240.97</v>
      </c>
      <c r="L19" s="21">
        <v>252931.42</v>
      </c>
      <c r="M19" s="21">
        <v>52341.9</v>
      </c>
      <c r="N19" s="19">
        <f t="shared" si="4"/>
        <v>1886841.0099999998</v>
      </c>
      <c r="O19" s="21">
        <v>9058290.1199999992</v>
      </c>
      <c r="P19" s="19">
        <f>+O19/12*$R$20</f>
        <v>9058290.1199999992</v>
      </c>
      <c r="Q19" s="19">
        <f>+N19-P19</f>
        <v>-7171449.1099999994</v>
      </c>
      <c r="R19" s="20">
        <f>+N19/O19</f>
        <v>0.20829990925483849</v>
      </c>
    </row>
    <row r="20" spans="1:18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>
        <f>COUNTA(B14:M14)</f>
        <v>12</v>
      </c>
    </row>
    <row r="21" spans="1:18" ht="15.75" x14ac:dyDescent="0.25">
      <c r="A21" s="31" t="s">
        <v>32</v>
      </c>
      <c r="B21" s="32">
        <f>+B22+B32+B33</f>
        <v>12384955.4</v>
      </c>
      <c r="C21" s="32">
        <f t="shared" ref="C21:N21" si="5">+C22+C32+C33</f>
        <v>11567792.560000001</v>
      </c>
      <c r="D21" s="32">
        <f t="shared" si="5"/>
        <v>12252328.820000002</v>
      </c>
      <c r="E21" s="32">
        <f t="shared" si="5"/>
        <v>11924078.859999999</v>
      </c>
      <c r="F21" s="32">
        <f t="shared" si="5"/>
        <v>13318967.270000001</v>
      </c>
      <c r="G21" s="32">
        <f t="shared" si="5"/>
        <v>14623622.91</v>
      </c>
      <c r="H21" s="32">
        <f t="shared" si="5"/>
        <v>12338626.840000002</v>
      </c>
      <c r="I21" s="32">
        <f t="shared" si="5"/>
        <v>13828178.609999999</v>
      </c>
      <c r="J21" s="32">
        <f t="shared" si="5"/>
        <v>12479068.960000001</v>
      </c>
      <c r="K21" s="32">
        <f t="shared" si="5"/>
        <v>13726121.859999999</v>
      </c>
      <c r="L21" s="32">
        <f t="shared" si="5"/>
        <v>15272074.99</v>
      </c>
      <c r="M21" s="32">
        <f t="shared" si="5"/>
        <v>24397120.32</v>
      </c>
      <c r="N21" s="32">
        <f t="shared" si="5"/>
        <v>168112937.40000001</v>
      </c>
      <c r="O21" s="32">
        <f>+O22+O32+O33</f>
        <v>168250817.45000002</v>
      </c>
      <c r="P21" s="32">
        <f>+P22+P32+P33</f>
        <v>168250817.45000002</v>
      </c>
      <c r="Q21" s="32">
        <f t="shared" ref="Q21:Q30" si="6">+N21-P21</f>
        <v>-137880.05000001192</v>
      </c>
      <c r="R21" s="17">
        <f>+N21/O21</f>
        <v>0.99918050888495091</v>
      </c>
    </row>
    <row r="22" spans="1:18" x14ac:dyDescent="0.25">
      <c r="A22" s="18" t="s">
        <v>33</v>
      </c>
      <c r="B22" s="33">
        <f>+B23+B24+B25+B29+B30</f>
        <v>11789230.99</v>
      </c>
      <c r="C22" s="33">
        <f t="shared" ref="C22:N22" si="7">+C23+C24+C25+C29+C30</f>
        <v>11076739.700000001</v>
      </c>
      <c r="D22" s="33">
        <f t="shared" si="7"/>
        <v>11256164.380000001</v>
      </c>
      <c r="E22" s="33">
        <f t="shared" si="7"/>
        <v>11387359.6</v>
      </c>
      <c r="F22" s="33">
        <f t="shared" si="7"/>
        <v>11988609.310000001</v>
      </c>
      <c r="G22" s="33">
        <f t="shared" si="7"/>
        <v>13929984.57</v>
      </c>
      <c r="H22" s="33">
        <f t="shared" si="7"/>
        <v>11386545.170000002</v>
      </c>
      <c r="I22" s="33">
        <f t="shared" si="7"/>
        <v>11763043.939999999</v>
      </c>
      <c r="J22" s="33">
        <f t="shared" si="7"/>
        <v>11570370.520000001</v>
      </c>
      <c r="K22" s="33">
        <f t="shared" si="7"/>
        <v>13018675.01</v>
      </c>
      <c r="L22" s="33">
        <f t="shared" si="7"/>
        <v>13996936.83</v>
      </c>
      <c r="M22" s="33">
        <f t="shared" si="7"/>
        <v>17810112.240000002</v>
      </c>
      <c r="N22" s="33">
        <f t="shared" si="7"/>
        <v>150973772.25999999</v>
      </c>
      <c r="O22" s="33">
        <f>+O23+O24+O25+O29+O30</f>
        <v>144977649.53</v>
      </c>
      <c r="P22" s="33">
        <f>+P23+P24+P25+P29+P30</f>
        <v>144977649.53</v>
      </c>
      <c r="Q22" s="33">
        <f t="shared" si="6"/>
        <v>5996122.7299999893</v>
      </c>
      <c r="R22" s="20">
        <f>+N21/O21</f>
        <v>0.99918050888495091</v>
      </c>
    </row>
    <row r="23" spans="1:18" x14ac:dyDescent="0.25">
      <c r="A23" s="22" t="s">
        <v>34</v>
      </c>
      <c r="B23" s="21">
        <v>3842209.05</v>
      </c>
      <c r="C23" s="21">
        <v>3864725.87</v>
      </c>
      <c r="D23" s="21">
        <v>3569192.89</v>
      </c>
      <c r="E23" s="21">
        <v>3800456.96</v>
      </c>
      <c r="F23" s="21">
        <v>3831686.67</v>
      </c>
      <c r="G23" s="21">
        <v>5484959.5300000003</v>
      </c>
      <c r="H23" s="21">
        <v>3796531.66</v>
      </c>
      <c r="I23" s="21">
        <v>3738737</v>
      </c>
      <c r="J23" s="21">
        <v>4075071.24</v>
      </c>
      <c r="K23" s="21">
        <v>4052196.43</v>
      </c>
      <c r="L23" s="21">
        <v>4395959.49</v>
      </c>
      <c r="M23" s="21">
        <v>5168064.6100000003</v>
      </c>
      <c r="N23" s="34">
        <f>SUM(B23:M23)</f>
        <v>49619791.399999999</v>
      </c>
      <c r="O23" s="21">
        <v>49685469.119999997</v>
      </c>
      <c r="P23" s="19">
        <f>+O23/12*$R$20</f>
        <v>49685469.119999997</v>
      </c>
      <c r="Q23" s="19">
        <f t="shared" si="6"/>
        <v>-65677.719999998808</v>
      </c>
      <c r="R23" s="20">
        <f t="shared" ref="R23:R34" si="8">+N22/O22</f>
        <v>1.0413589456680992</v>
      </c>
    </row>
    <row r="24" spans="1:18" x14ac:dyDescent="0.25">
      <c r="A24" s="24" t="s">
        <v>35</v>
      </c>
      <c r="B24" s="21">
        <v>1912426.11</v>
      </c>
      <c r="C24" s="21">
        <v>1322465.1000000001</v>
      </c>
      <c r="D24" s="21">
        <v>1525680.16</v>
      </c>
      <c r="E24" s="21">
        <v>1848236.51</v>
      </c>
      <c r="F24" s="21">
        <v>1775341.73</v>
      </c>
      <c r="G24" s="21">
        <v>1983878.1</v>
      </c>
      <c r="H24" s="21">
        <v>1423406.11</v>
      </c>
      <c r="I24" s="21">
        <v>1840209.18</v>
      </c>
      <c r="J24" s="21">
        <v>1173584.6499999999</v>
      </c>
      <c r="K24" s="21">
        <v>1651603.23</v>
      </c>
      <c r="L24" s="21">
        <v>3088567.91</v>
      </c>
      <c r="M24" s="21">
        <v>2298932.7000000002</v>
      </c>
      <c r="N24" s="34">
        <f>SUM(B24:M24)</f>
        <v>21844331.489999998</v>
      </c>
      <c r="O24" s="21">
        <v>21643662.289999999</v>
      </c>
      <c r="P24" s="19">
        <f>+O24/12*$R$20</f>
        <v>21643662.289999999</v>
      </c>
      <c r="Q24" s="19">
        <f t="shared" si="6"/>
        <v>200669.19999999925</v>
      </c>
      <c r="R24" s="20">
        <f t="shared" si="8"/>
        <v>0.99867813022271412</v>
      </c>
    </row>
    <row r="25" spans="1:18" x14ac:dyDescent="0.25">
      <c r="A25" s="24" t="s">
        <v>36</v>
      </c>
      <c r="B25" s="19">
        <f>+B26+B28</f>
        <v>4376351.87</v>
      </c>
      <c r="C25" s="19">
        <f t="shared" ref="C25:N25" si="9">+C26+C28</f>
        <v>4487537.5</v>
      </c>
      <c r="D25" s="19">
        <f t="shared" si="9"/>
        <v>4651033.7300000004</v>
      </c>
      <c r="E25" s="19">
        <f t="shared" si="9"/>
        <v>4388017.43</v>
      </c>
      <c r="F25" s="19">
        <f t="shared" si="9"/>
        <v>4940670.29</v>
      </c>
      <c r="G25" s="19">
        <f t="shared" si="9"/>
        <v>5024170.05</v>
      </c>
      <c r="H25" s="19">
        <f t="shared" si="9"/>
        <v>4694263.51</v>
      </c>
      <c r="I25" s="19">
        <f t="shared" si="9"/>
        <v>4728305.47</v>
      </c>
      <c r="J25" s="19">
        <f t="shared" si="9"/>
        <v>4703787.7300000004</v>
      </c>
      <c r="K25" s="19">
        <f t="shared" si="9"/>
        <v>5504151.5999999996</v>
      </c>
      <c r="L25" s="19">
        <f t="shared" si="9"/>
        <v>4938137.09</v>
      </c>
      <c r="M25" s="19">
        <f t="shared" si="9"/>
        <v>6995648.1600000001</v>
      </c>
      <c r="N25" s="19">
        <f t="shared" si="9"/>
        <v>59432074.43</v>
      </c>
      <c r="O25" s="19">
        <f>+O26+O28</f>
        <v>58828965</v>
      </c>
      <c r="P25" s="19">
        <f>+P26+P28</f>
        <v>58828965</v>
      </c>
      <c r="Q25" s="19">
        <f>+N25-P25</f>
        <v>603109.4299999997</v>
      </c>
      <c r="R25" s="20">
        <f t="shared" si="8"/>
        <v>1.0092714993105725</v>
      </c>
    </row>
    <row r="26" spans="1:18" x14ac:dyDescent="0.25">
      <c r="A26" s="23" t="s">
        <v>37</v>
      </c>
      <c r="B26" s="21">
        <v>3753882.06</v>
      </c>
      <c r="C26" s="21">
        <v>3715225.6000000001</v>
      </c>
      <c r="D26" s="21">
        <v>3897828.56</v>
      </c>
      <c r="E26" s="21">
        <v>3883999</v>
      </c>
      <c r="F26" s="21">
        <v>4025236.75</v>
      </c>
      <c r="G26" s="21">
        <v>4018053.83</v>
      </c>
      <c r="H26" s="21">
        <v>4060214.99</v>
      </c>
      <c r="I26" s="21">
        <v>4020639.38</v>
      </c>
      <c r="J26" s="21">
        <v>3997208.45</v>
      </c>
      <c r="K26" s="21">
        <v>4018357.27</v>
      </c>
      <c r="L26" s="21">
        <v>3835226.75</v>
      </c>
      <c r="M26" s="21">
        <v>4052839.16</v>
      </c>
      <c r="N26" s="34">
        <f>SUM(B26:M26)</f>
        <v>47278711.799999997</v>
      </c>
      <c r="O26" s="21">
        <v>47530896.600000001</v>
      </c>
      <c r="P26" s="19">
        <f>+O26/12*$R$20</f>
        <v>47530896.600000001</v>
      </c>
      <c r="Q26" s="19">
        <f t="shared" si="6"/>
        <v>-252184.80000000447</v>
      </c>
      <c r="R26" s="20">
        <f t="shared" si="8"/>
        <v>1.0102519129819809</v>
      </c>
    </row>
    <row r="27" spans="1:18" x14ac:dyDescent="0.25">
      <c r="A27" s="23" t="s">
        <v>38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34">
        <f>SUM(B27:M27)</f>
        <v>0</v>
      </c>
      <c r="O27" s="28"/>
      <c r="P27" s="19"/>
      <c r="Q27" s="19"/>
      <c r="R27" s="20"/>
    </row>
    <row r="28" spans="1:18" x14ac:dyDescent="0.25">
      <c r="A28" s="23" t="s">
        <v>39</v>
      </c>
      <c r="B28" s="21">
        <v>622469.81000000006</v>
      </c>
      <c r="C28" s="21">
        <v>772311.89999999991</v>
      </c>
      <c r="D28" s="21">
        <v>753205.17</v>
      </c>
      <c r="E28" s="21">
        <v>504018.43</v>
      </c>
      <c r="F28" s="21">
        <v>915433.54</v>
      </c>
      <c r="G28" s="21">
        <v>1006116.22</v>
      </c>
      <c r="H28" s="21">
        <v>634048.52</v>
      </c>
      <c r="I28" s="21">
        <v>707666.09</v>
      </c>
      <c r="J28" s="21">
        <v>706579.28</v>
      </c>
      <c r="K28" s="21">
        <v>1485794.33</v>
      </c>
      <c r="L28" s="21">
        <v>1102910.3400000001</v>
      </c>
      <c r="M28" s="21">
        <v>2942809</v>
      </c>
      <c r="N28" s="34">
        <f>SUM(B28:M28)</f>
        <v>12153362.630000001</v>
      </c>
      <c r="O28" s="21">
        <v>11298068.4</v>
      </c>
      <c r="P28" s="19">
        <f>+O28/12*$R$20</f>
        <v>11298068.4</v>
      </c>
      <c r="Q28" s="19">
        <f t="shared" si="6"/>
        <v>855294.23000000045</v>
      </c>
      <c r="R28" s="20">
        <f>+N26/O26</f>
        <v>0.99469429743515492</v>
      </c>
    </row>
    <row r="29" spans="1:18" x14ac:dyDescent="0.25">
      <c r="A29" s="24" t="s">
        <v>40</v>
      </c>
      <c r="B29" s="21">
        <v>1468635.01</v>
      </c>
      <c r="C29" s="21">
        <v>1204746.75</v>
      </c>
      <c r="D29" s="21">
        <v>1278120.7</v>
      </c>
      <c r="E29" s="21">
        <v>1119941.97</v>
      </c>
      <c r="F29" s="21">
        <v>1228119.53</v>
      </c>
      <c r="G29" s="21">
        <v>1218739.32</v>
      </c>
      <c r="H29" s="21">
        <v>1250158.83</v>
      </c>
      <c r="I29" s="21">
        <v>1252863.1399999999</v>
      </c>
      <c r="J29" s="21">
        <v>1354152.31</v>
      </c>
      <c r="K29" s="21">
        <v>1561862.37</v>
      </c>
      <c r="L29" s="21">
        <v>1321242.78</v>
      </c>
      <c r="M29" s="21">
        <v>3101944.74</v>
      </c>
      <c r="N29" s="34">
        <f>SUM(B29:M29)</f>
        <v>17360527.449999999</v>
      </c>
      <c r="O29" s="21">
        <v>14819553.119999999</v>
      </c>
      <c r="P29" s="19">
        <f>+O29/12*$R$20</f>
        <v>14819553.120000001</v>
      </c>
      <c r="Q29" s="19">
        <f t="shared" si="6"/>
        <v>2540974.3299999982</v>
      </c>
      <c r="R29" s="20">
        <f t="shared" si="8"/>
        <v>1.0757026953386122</v>
      </c>
    </row>
    <row r="30" spans="1:18" x14ac:dyDescent="0.25">
      <c r="A30" s="24" t="s">
        <v>41</v>
      </c>
      <c r="B30" s="21">
        <v>189608.95</v>
      </c>
      <c r="C30" s="21">
        <v>197264.47999999998</v>
      </c>
      <c r="D30" s="21">
        <v>232136.9</v>
      </c>
      <c r="E30" s="21">
        <v>230706.73</v>
      </c>
      <c r="F30" s="21">
        <v>212791.09</v>
      </c>
      <c r="G30" s="21">
        <v>218237.57</v>
      </c>
      <c r="H30" s="21">
        <v>222185.06</v>
      </c>
      <c r="I30" s="21">
        <v>202929.15</v>
      </c>
      <c r="J30" s="21">
        <v>263774.59000000003</v>
      </c>
      <c r="K30" s="21">
        <v>248861.38</v>
      </c>
      <c r="L30" s="21">
        <v>253029.56</v>
      </c>
      <c r="M30" s="21">
        <v>245522.03</v>
      </c>
      <c r="N30" s="34">
        <f>SUM(B30:M30)</f>
        <v>2717047.4899999998</v>
      </c>
      <c r="O30" s="21"/>
      <c r="P30" s="19">
        <f>+O30/12*$R$20</f>
        <v>0</v>
      </c>
      <c r="Q30" s="19">
        <f t="shared" si="6"/>
        <v>2717047.4899999998</v>
      </c>
      <c r="R30" s="20">
        <f t="shared" si="8"/>
        <v>1.1714609279662274</v>
      </c>
    </row>
    <row r="31" spans="1:18" x14ac:dyDescent="0.25">
      <c r="A31" s="35" t="s">
        <v>42</v>
      </c>
      <c r="B31" s="32">
        <f>+B10-B22</f>
        <v>5601211.6899999995</v>
      </c>
      <c r="C31" s="32">
        <f t="shared" ref="C31:N31" si="10">+C10-C22</f>
        <v>1838978.1799999997</v>
      </c>
      <c r="D31" s="32">
        <f t="shared" si="10"/>
        <v>1653211.3699999973</v>
      </c>
      <c r="E31" s="32">
        <f t="shared" si="10"/>
        <v>-589693.3200000003</v>
      </c>
      <c r="F31" s="32">
        <f t="shared" si="10"/>
        <v>909899.40999999829</v>
      </c>
      <c r="G31" s="32">
        <f t="shared" si="10"/>
        <v>-1346023.7699999996</v>
      </c>
      <c r="H31" s="32">
        <f t="shared" si="10"/>
        <v>1493365.6599999964</v>
      </c>
      <c r="I31" s="32">
        <f t="shared" si="10"/>
        <v>1810093.9700000007</v>
      </c>
      <c r="J31" s="32">
        <f t="shared" si="10"/>
        <v>1595534.8099999987</v>
      </c>
      <c r="K31" s="32">
        <f t="shared" si="10"/>
        <v>723911.09000000171</v>
      </c>
      <c r="L31" s="32">
        <f t="shared" si="10"/>
        <v>-599125.69999999553</v>
      </c>
      <c r="M31" s="32">
        <f t="shared" si="10"/>
        <v>-5254532.8000000007</v>
      </c>
      <c r="N31" s="32">
        <f t="shared" si="10"/>
        <v>7836830.5899999738</v>
      </c>
      <c r="O31" s="32">
        <f>+O10-O22</f>
        <v>15278167.75</v>
      </c>
      <c r="P31" s="32">
        <f>+P10-P22</f>
        <v>15278167.75</v>
      </c>
      <c r="Q31" s="32">
        <f>+N31-P31</f>
        <v>-7441337.1600000262</v>
      </c>
      <c r="R31" s="17">
        <f>+N31/O31</f>
        <v>0.51294309096717272</v>
      </c>
    </row>
    <row r="32" spans="1:18" x14ac:dyDescent="0.25">
      <c r="A32" s="27" t="s">
        <v>43</v>
      </c>
      <c r="B32" s="21">
        <v>549260.82999999996</v>
      </c>
      <c r="C32" s="21">
        <v>491052.86</v>
      </c>
      <c r="D32" s="21">
        <v>484776.22</v>
      </c>
      <c r="E32" s="21">
        <v>526511.26</v>
      </c>
      <c r="F32" s="21">
        <v>551502.49</v>
      </c>
      <c r="G32" s="21">
        <v>461955.07</v>
      </c>
      <c r="H32" s="21">
        <v>530203.81999999995</v>
      </c>
      <c r="I32" s="21">
        <v>469950.34</v>
      </c>
      <c r="J32" s="21">
        <v>494996.57</v>
      </c>
      <c r="K32" s="21">
        <v>539430.18999999994</v>
      </c>
      <c r="L32" s="21">
        <v>200000</v>
      </c>
      <c r="M32" s="21">
        <v>200000</v>
      </c>
      <c r="N32" s="19">
        <f>SUM(B32:M32)</f>
        <v>5499639.6500000004</v>
      </c>
      <c r="O32" s="21">
        <v>9945003.9600000009</v>
      </c>
      <c r="P32" s="19">
        <f>+O32/12*$R$20</f>
        <v>9945003.9600000009</v>
      </c>
      <c r="Q32" s="19">
        <f>+N32-P32</f>
        <v>-4445364.3100000005</v>
      </c>
      <c r="R32" s="20">
        <f t="shared" si="8"/>
        <v>0.51294309096717272</v>
      </c>
    </row>
    <row r="33" spans="1:18" x14ac:dyDescent="0.25">
      <c r="A33" s="27" t="s">
        <v>44</v>
      </c>
      <c r="B33" s="21">
        <v>46463.58</v>
      </c>
      <c r="C33" s="21">
        <v>0</v>
      </c>
      <c r="D33" s="21">
        <v>511388.22</v>
      </c>
      <c r="E33" s="21">
        <v>10208</v>
      </c>
      <c r="F33" s="21">
        <v>778855.47</v>
      </c>
      <c r="G33" s="21">
        <v>231683.27</v>
      </c>
      <c r="H33" s="21">
        <v>421877.85</v>
      </c>
      <c r="I33" s="21">
        <v>1595184.33</v>
      </c>
      <c r="J33" s="21">
        <v>413701.87</v>
      </c>
      <c r="K33" s="21">
        <v>168016.66</v>
      </c>
      <c r="L33" s="21">
        <v>1075138.1599999999</v>
      </c>
      <c r="M33" s="21">
        <v>6387008.0800000001</v>
      </c>
      <c r="N33" s="19">
        <f>SUM(B33:M33)</f>
        <v>11639525.49</v>
      </c>
      <c r="O33" s="21">
        <v>13328163.960000001</v>
      </c>
      <c r="P33" s="19">
        <f>+O33/12*$R$20</f>
        <v>13328163.960000001</v>
      </c>
      <c r="Q33" s="19">
        <f>+N33-P33</f>
        <v>-1688638.4700000007</v>
      </c>
      <c r="R33" s="20">
        <f t="shared" si="8"/>
        <v>0.55300527502253505</v>
      </c>
    </row>
    <row r="34" spans="1:18" x14ac:dyDescent="0.25">
      <c r="A34" s="35" t="s">
        <v>45</v>
      </c>
      <c r="B34" s="32">
        <f>+B31-B32-B33</f>
        <v>5005487.2799999993</v>
      </c>
      <c r="C34" s="32">
        <f t="shared" ref="C34:N34" si="11">+C31-C32-C33</f>
        <v>1347925.3199999998</v>
      </c>
      <c r="D34" s="32">
        <f t="shared" si="11"/>
        <v>657046.92999999737</v>
      </c>
      <c r="E34" s="32">
        <f t="shared" si="11"/>
        <v>-1126412.5800000003</v>
      </c>
      <c r="F34" s="32">
        <f t="shared" si="11"/>
        <v>-420458.55000000168</v>
      </c>
      <c r="G34" s="32">
        <f t="shared" si="11"/>
        <v>-2039662.1099999996</v>
      </c>
      <c r="H34" s="32">
        <f t="shared" si="11"/>
        <v>541283.9899999965</v>
      </c>
      <c r="I34" s="32">
        <f t="shared" si="11"/>
        <v>-255040.69999999949</v>
      </c>
      <c r="J34" s="32">
        <f t="shared" si="11"/>
        <v>686836.3699999986</v>
      </c>
      <c r="K34" s="32">
        <f t="shared" si="11"/>
        <v>16464.240000001766</v>
      </c>
      <c r="L34" s="32">
        <f t="shared" si="11"/>
        <v>-1874263.8599999954</v>
      </c>
      <c r="M34" s="32">
        <f t="shared" si="11"/>
        <v>-11841540.880000001</v>
      </c>
      <c r="N34" s="32">
        <f t="shared" si="11"/>
        <v>-9302334.5500000268</v>
      </c>
      <c r="O34" s="32">
        <f>+O31-O32-O33</f>
        <v>-7995000.1700000018</v>
      </c>
      <c r="P34" s="32">
        <f>+P31-P32-P33</f>
        <v>-7995000.1700000018</v>
      </c>
      <c r="Q34" s="32">
        <f>+N34-P34</f>
        <v>-1307334.380000025</v>
      </c>
      <c r="R34" s="17">
        <f t="shared" si="8"/>
        <v>0.87330299394065969</v>
      </c>
    </row>
    <row r="35" spans="1:18" s="40" customFormat="1" x14ac:dyDescent="0.25">
      <c r="A35" s="36" t="s">
        <v>46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>
        <f>SUM(B35:M35)</f>
        <v>0</v>
      </c>
      <c r="O35" s="37"/>
      <c r="P35" s="38"/>
      <c r="Q35" s="38"/>
      <c r="R35" s="39"/>
    </row>
    <row r="36" spans="1:18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</row>
    <row r="37" spans="1:18" ht="15.75" x14ac:dyDescent="0.25">
      <c r="A37" s="15" t="s">
        <v>47</v>
      </c>
      <c r="B37" s="44">
        <v>19780958.510000002</v>
      </c>
      <c r="C37" s="44">
        <v>20948757.379999999</v>
      </c>
      <c r="D37" s="44">
        <v>24183018.870000001</v>
      </c>
      <c r="E37" s="44">
        <v>21080804.600000001</v>
      </c>
      <c r="F37" s="44">
        <v>22344275.550000001</v>
      </c>
      <c r="G37" s="44">
        <v>19742915.59</v>
      </c>
      <c r="H37" s="44">
        <v>19609997.219999999</v>
      </c>
      <c r="I37" s="44">
        <v>20348874.870000001</v>
      </c>
      <c r="J37" s="44">
        <v>19246257.5</v>
      </c>
      <c r="K37" s="44">
        <v>18243653.600000001</v>
      </c>
      <c r="L37" s="44">
        <v>12485389.93</v>
      </c>
      <c r="M37" s="44">
        <v>10783984.619999999</v>
      </c>
      <c r="N37" s="45"/>
      <c r="O37" s="46"/>
      <c r="P37" s="46"/>
      <c r="Q37" s="46"/>
      <c r="R37" s="47"/>
    </row>
    <row r="38" spans="1:18" ht="15.75" x14ac:dyDescent="0.25">
      <c r="A38" s="31" t="s">
        <v>48</v>
      </c>
      <c r="B38" s="21">
        <v>124177.5</v>
      </c>
      <c r="C38" s="21">
        <v>155184.37</v>
      </c>
      <c r="D38" s="21">
        <v>241448.74</v>
      </c>
      <c r="E38" s="21">
        <v>-66749.399999999994</v>
      </c>
      <c r="F38" s="21">
        <v>174288.9</v>
      </c>
      <c r="G38" s="21">
        <v>185896.94</v>
      </c>
      <c r="H38" s="21">
        <v>242063.79</v>
      </c>
      <c r="I38" s="21">
        <v>156643.89000000001</v>
      </c>
      <c r="J38" s="21">
        <v>80397.649999999994</v>
      </c>
      <c r="K38" s="21">
        <v>121739.96</v>
      </c>
      <c r="L38" s="21">
        <v>58249.22</v>
      </c>
      <c r="M38" s="21">
        <v>97473.99</v>
      </c>
      <c r="N38" s="19">
        <f>SUM(B38:M38)</f>
        <v>1570815.5499999998</v>
      </c>
      <c r="O38" s="21">
        <v>2713667.16</v>
      </c>
      <c r="P38" s="19">
        <f>+O38/12*$R$20</f>
        <v>2713667.16</v>
      </c>
      <c r="Q38" s="19">
        <f>+N38-P38</f>
        <v>-1142851.6100000003</v>
      </c>
      <c r="R38" s="20">
        <f>+N38/O38</f>
        <v>0.57885343241578668</v>
      </c>
    </row>
    <row r="39" spans="1:18" ht="15.75" x14ac:dyDescent="0.25">
      <c r="A39" s="48" t="s">
        <v>49</v>
      </c>
      <c r="B39" s="49">
        <v>862970.36</v>
      </c>
      <c r="C39" s="49">
        <v>635700.11</v>
      </c>
      <c r="D39" s="49">
        <v>636202.57999999996</v>
      </c>
      <c r="E39" s="49">
        <v>532886.85</v>
      </c>
      <c r="F39" s="49">
        <v>640538.07999999996</v>
      </c>
      <c r="G39" s="49">
        <v>625337.27</v>
      </c>
      <c r="H39" s="49">
        <v>640200.56999999995</v>
      </c>
      <c r="I39" s="49">
        <v>686091.65</v>
      </c>
      <c r="J39" s="49">
        <v>654152.31999999995</v>
      </c>
      <c r="K39" s="49">
        <v>685667.27</v>
      </c>
      <c r="L39" s="49">
        <v>665263.17000000004</v>
      </c>
      <c r="M39" s="49">
        <v>628377.47</v>
      </c>
      <c r="N39" s="50">
        <f>SUM(B39:M39)</f>
        <v>7893387.7000000002</v>
      </c>
      <c r="O39" s="49">
        <v>7726081.96</v>
      </c>
      <c r="P39" s="50">
        <f>+O39/12*$R$20</f>
        <v>7726081.96</v>
      </c>
      <c r="Q39" s="50">
        <f>+N39-P39</f>
        <v>167305.74000000022</v>
      </c>
      <c r="R39" s="51">
        <f>+N39/O39</f>
        <v>1.0216546680278811</v>
      </c>
    </row>
    <row r="40" spans="1:18" x14ac:dyDescent="0.25">
      <c r="A40" s="5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53"/>
    </row>
    <row r="41" spans="1:18" ht="15.75" x14ac:dyDescent="0.25">
      <c r="A41" s="15" t="s">
        <v>50</v>
      </c>
      <c r="B41" s="16">
        <f>+B42+B43+B44</f>
        <v>1647480</v>
      </c>
      <c r="C41" s="16">
        <f t="shared" ref="C41:N41" si="12">+C42+C43+C44</f>
        <v>1551683</v>
      </c>
      <c r="D41" s="16">
        <f t="shared" si="12"/>
        <v>1665574</v>
      </c>
      <c r="E41" s="16">
        <f t="shared" si="12"/>
        <v>1978436</v>
      </c>
      <c r="F41" s="16">
        <f t="shared" si="12"/>
        <v>1681889</v>
      </c>
      <c r="G41" s="16">
        <f t="shared" si="12"/>
        <v>1602739</v>
      </c>
      <c r="H41" s="16">
        <f t="shared" si="12"/>
        <v>1641785</v>
      </c>
      <c r="I41" s="16">
        <f t="shared" si="12"/>
        <v>1632442</v>
      </c>
      <c r="J41" s="16">
        <f t="shared" si="12"/>
        <v>1621005</v>
      </c>
      <c r="K41" s="16">
        <f t="shared" si="12"/>
        <v>1634431</v>
      </c>
      <c r="L41" s="16">
        <f t="shared" si="12"/>
        <v>1627288</v>
      </c>
      <c r="M41" s="16">
        <f t="shared" si="12"/>
        <v>1675442</v>
      </c>
      <c r="N41" s="16">
        <f t="shared" si="12"/>
        <v>19960194</v>
      </c>
      <c r="O41" s="54"/>
      <c r="P41" s="54"/>
      <c r="Q41" s="54"/>
      <c r="R41" s="55"/>
    </row>
    <row r="42" spans="1:18" x14ac:dyDescent="0.25">
      <c r="A42" s="27" t="s">
        <v>51</v>
      </c>
      <c r="B42" s="21">
        <v>1609231</v>
      </c>
      <c r="C42" s="21">
        <v>1514074</v>
      </c>
      <c r="D42" s="21">
        <v>1620628</v>
      </c>
      <c r="E42" s="21">
        <v>1920314</v>
      </c>
      <c r="F42" s="21">
        <v>1639391</v>
      </c>
      <c r="G42" s="21">
        <v>1554660</v>
      </c>
      <c r="H42" s="21">
        <v>1597077</v>
      </c>
      <c r="I42" s="21">
        <v>1588675</v>
      </c>
      <c r="J42" s="21">
        <v>1569469</v>
      </c>
      <c r="K42" s="21">
        <v>1580250</v>
      </c>
      <c r="L42" s="21">
        <v>1579506</v>
      </c>
      <c r="M42" s="21">
        <v>1616880</v>
      </c>
      <c r="N42" s="19">
        <f>SUM(B42:M42)</f>
        <v>19390155</v>
      </c>
      <c r="O42" s="28"/>
      <c r="P42" s="28"/>
      <c r="Q42" s="28"/>
      <c r="R42" s="56"/>
    </row>
    <row r="43" spans="1:18" x14ac:dyDescent="0.25">
      <c r="A43" s="27" t="s">
        <v>52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19">
        <f>SUM(B43:M43)</f>
        <v>0</v>
      </c>
      <c r="O43" s="28"/>
      <c r="P43" s="28"/>
      <c r="Q43" s="28"/>
      <c r="R43" s="56"/>
    </row>
    <row r="44" spans="1:18" x14ac:dyDescent="0.25">
      <c r="A44" s="27" t="s">
        <v>53</v>
      </c>
      <c r="B44" s="21">
        <v>38249</v>
      </c>
      <c r="C44" s="21">
        <v>37609</v>
      </c>
      <c r="D44" s="21">
        <v>44946</v>
      </c>
      <c r="E44" s="21">
        <v>58122</v>
      </c>
      <c r="F44" s="21">
        <v>42498</v>
      </c>
      <c r="G44" s="21">
        <v>48079</v>
      </c>
      <c r="H44" s="21">
        <v>44708</v>
      </c>
      <c r="I44" s="21">
        <v>43767</v>
      </c>
      <c r="J44" s="21">
        <v>51536</v>
      </c>
      <c r="K44" s="21">
        <v>54181</v>
      </c>
      <c r="L44" s="21">
        <v>47782</v>
      </c>
      <c r="M44" s="21">
        <v>58562</v>
      </c>
      <c r="N44" s="19">
        <f>SUM(B44:M44)</f>
        <v>570039</v>
      </c>
      <c r="O44" s="28"/>
      <c r="P44" s="28"/>
      <c r="Q44" s="28"/>
      <c r="R44" s="56"/>
    </row>
    <row r="45" spans="1:18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56"/>
    </row>
    <row r="46" spans="1:18" ht="15.75" x14ac:dyDescent="0.25">
      <c r="A46" s="15" t="s">
        <v>54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</row>
    <row r="47" spans="1:18" x14ac:dyDescent="0.25">
      <c r="A47" t="s">
        <v>55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19">
        <f>SUM(B47:M47)</f>
        <v>0</v>
      </c>
      <c r="O47" s="28"/>
      <c r="P47" s="28"/>
      <c r="Q47" s="28"/>
      <c r="R47" s="56"/>
    </row>
    <row r="48" spans="1:18" x14ac:dyDescent="0.25">
      <c r="A48" t="s">
        <v>56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19">
        <f>SUM(B48:M48)</f>
        <v>0</v>
      </c>
      <c r="O48" s="28"/>
      <c r="P48" s="28"/>
      <c r="Q48" s="28"/>
      <c r="R48" s="56"/>
    </row>
    <row r="49" spans="1:18" x14ac:dyDescent="0.25">
      <c r="A49" t="s">
        <v>57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19">
        <f>SUM(B49:M49)</f>
        <v>0</v>
      </c>
      <c r="O49" s="28"/>
      <c r="P49" s="28"/>
      <c r="Q49" s="28"/>
      <c r="R49" s="56"/>
    </row>
    <row r="50" spans="1:18" x14ac:dyDescent="0.25">
      <c r="A50" s="58" t="s">
        <v>58</v>
      </c>
      <c r="B50" s="19">
        <f>SUM(B47:B49)</f>
        <v>0</v>
      </c>
      <c r="C50" s="19">
        <f t="shared" ref="C50:M50" si="13">SUM(C47:C49)</f>
        <v>0</v>
      </c>
      <c r="D50" s="19">
        <f t="shared" si="13"/>
        <v>0</v>
      </c>
      <c r="E50" s="19">
        <f t="shared" si="13"/>
        <v>0</v>
      </c>
      <c r="F50" s="19">
        <f t="shared" si="13"/>
        <v>0</v>
      </c>
      <c r="G50" s="19">
        <f t="shared" si="13"/>
        <v>0</v>
      </c>
      <c r="H50" s="19">
        <f t="shared" si="13"/>
        <v>0</v>
      </c>
      <c r="I50" s="19">
        <f t="shared" si="13"/>
        <v>0</v>
      </c>
      <c r="J50" s="19">
        <f t="shared" si="13"/>
        <v>0</v>
      </c>
      <c r="K50" s="19">
        <f t="shared" si="13"/>
        <v>0</v>
      </c>
      <c r="L50" s="19">
        <f t="shared" si="13"/>
        <v>0</v>
      </c>
      <c r="M50" s="19">
        <f t="shared" si="13"/>
        <v>0</v>
      </c>
      <c r="N50" s="19">
        <f>SUM(N47:N49)</f>
        <v>0</v>
      </c>
      <c r="O50" s="28"/>
      <c r="P50" s="28"/>
      <c r="Q50" s="28"/>
      <c r="R50" s="56"/>
    </row>
    <row r="51" spans="1:18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56"/>
    </row>
    <row r="52" spans="1:18" ht="15.75" x14ac:dyDescent="0.25">
      <c r="A52" s="31" t="s">
        <v>59</v>
      </c>
      <c r="B52" s="59">
        <v>1013489.48</v>
      </c>
      <c r="C52" s="59">
        <v>943440</v>
      </c>
      <c r="D52" s="60">
        <v>1062092.74</v>
      </c>
      <c r="E52" s="60">
        <v>1076878</v>
      </c>
      <c r="F52" s="60">
        <v>1089199</v>
      </c>
      <c r="G52" s="60">
        <v>1107820.8</v>
      </c>
      <c r="H52" s="60">
        <v>1170671.2</v>
      </c>
      <c r="I52" s="60">
        <v>1145016</v>
      </c>
      <c r="J52" s="60">
        <v>1129604.6000000001</v>
      </c>
      <c r="K52" s="60">
        <v>989459</v>
      </c>
      <c r="L52" s="60">
        <v>975715.2</v>
      </c>
      <c r="M52" s="60">
        <v>1043370.72</v>
      </c>
      <c r="N52" s="32">
        <f>SUM(B52:M52)</f>
        <v>12746756.739999998</v>
      </c>
      <c r="O52" s="61"/>
      <c r="P52" s="61"/>
      <c r="Q52" s="61"/>
      <c r="R52" s="62"/>
    </row>
    <row r="53" spans="1:18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56"/>
    </row>
    <row r="54" spans="1:18" ht="15.75" x14ac:dyDescent="0.25">
      <c r="A54" s="31" t="s">
        <v>60</v>
      </c>
      <c r="B54" s="63">
        <f>+B55+B56+B57+B58+B59</f>
        <v>479255</v>
      </c>
      <c r="C54" s="63">
        <f t="shared" ref="C54:N54" si="14">+C55+C56+C57+C58+C59</f>
        <v>442152</v>
      </c>
      <c r="D54" s="32">
        <f t="shared" si="14"/>
        <v>439938</v>
      </c>
      <c r="E54" s="32">
        <f t="shared" si="14"/>
        <v>505831</v>
      </c>
      <c r="F54" s="32">
        <f t="shared" si="14"/>
        <v>467523</v>
      </c>
      <c r="G54" s="32">
        <f t="shared" si="14"/>
        <v>491046</v>
      </c>
      <c r="H54" s="32">
        <f t="shared" si="14"/>
        <v>524851</v>
      </c>
      <c r="I54" s="32">
        <f t="shared" si="14"/>
        <v>511048</v>
      </c>
      <c r="J54" s="32">
        <f t="shared" si="14"/>
        <v>516244</v>
      </c>
      <c r="K54" s="32">
        <f t="shared" si="14"/>
        <v>468041</v>
      </c>
      <c r="L54" s="32">
        <f t="shared" si="14"/>
        <v>392741</v>
      </c>
      <c r="M54" s="32">
        <f t="shared" si="14"/>
        <v>419924</v>
      </c>
      <c r="N54" s="32">
        <f t="shared" si="14"/>
        <v>5658594</v>
      </c>
      <c r="O54" s="61"/>
      <c r="P54" s="61"/>
      <c r="Q54" s="61"/>
      <c r="R54" s="62"/>
    </row>
    <row r="55" spans="1:18" x14ac:dyDescent="0.25">
      <c r="A55" s="27" t="s">
        <v>61</v>
      </c>
      <c r="B55" s="64">
        <v>417525</v>
      </c>
      <c r="C55" s="64">
        <v>381401</v>
      </c>
      <c r="D55" s="21">
        <v>380148</v>
      </c>
      <c r="E55" s="21">
        <v>438517</v>
      </c>
      <c r="F55" s="21">
        <v>400751</v>
      </c>
      <c r="G55" s="21">
        <v>422425</v>
      </c>
      <c r="H55" s="21">
        <v>452286</v>
      </c>
      <c r="I55" s="21">
        <v>440055</v>
      </c>
      <c r="J55" s="21">
        <v>444766</v>
      </c>
      <c r="K55" s="21">
        <v>400874</v>
      </c>
      <c r="L55" s="21">
        <v>330401</v>
      </c>
      <c r="M55" s="21">
        <v>363238</v>
      </c>
      <c r="N55" s="19">
        <f>SUM(B55:M55)</f>
        <v>4872387</v>
      </c>
      <c r="O55" s="28"/>
      <c r="P55" s="28"/>
      <c r="Q55" s="28"/>
      <c r="R55" s="56"/>
    </row>
    <row r="56" spans="1:18" x14ac:dyDescent="0.25">
      <c r="A56" s="27" t="s">
        <v>62</v>
      </c>
      <c r="B56" s="64">
        <v>31551</v>
      </c>
      <c r="C56" s="64">
        <v>30132</v>
      </c>
      <c r="D56" s="21">
        <v>28899</v>
      </c>
      <c r="E56" s="21">
        <v>33367</v>
      </c>
      <c r="F56" s="21">
        <v>32580</v>
      </c>
      <c r="G56" s="21">
        <v>33662</v>
      </c>
      <c r="H56" s="21">
        <v>36769</v>
      </c>
      <c r="I56" s="21">
        <v>36824</v>
      </c>
      <c r="J56" s="21">
        <v>36209</v>
      </c>
      <c r="K56" s="21">
        <v>33017</v>
      </c>
      <c r="L56" s="21">
        <v>30643</v>
      </c>
      <c r="M56" s="21">
        <v>27556</v>
      </c>
      <c r="N56" s="19">
        <f>SUM(B56:M56)</f>
        <v>391209</v>
      </c>
      <c r="O56" s="28"/>
      <c r="P56" s="28"/>
      <c r="Q56" s="28"/>
      <c r="R56" s="56"/>
    </row>
    <row r="57" spans="1:18" x14ac:dyDescent="0.25">
      <c r="A57" s="27" t="s">
        <v>63</v>
      </c>
      <c r="B57" s="64">
        <v>15718</v>
      </c>
      <c r="C57" s="64">
        <v>15320</v>
      </c>
      <c r="D57" s="21">
        <v>14556</v>
      </c>
      <c r="E57" s="21">
        <v>16271</v>
      </c>
      <c r="F57" s="21">
        <v>16896</v>
      </c>
      <c r="G57" s="21">
        <v>16519</v>
      </c>
      <c r="H57" s="21">
        <v>17646</v>
      </c>
      <c r="I57" s="21">
        <v>17793</v>
      </c>
      <c r="J57" s="21">
        <v>17145</v>
      </c>
      <c r="K57" s="21">
        <v>16836</v>
      </c>
      <c r="L57" s="21">
        <v>16141</v>
      </c>
      <c r="M57" s="21">
        <v>15020</v>
      </c>
      <c r="N57" s="19">
        <f>SUM(B57:M57)</f>
        <v>195861</v>
      </c>
      <c r="O57" s="28"/>
      <c r="P57" s="28"/>
      <c r="Q57" s="28"/>
      <c r="R57" s="56"/>
    </row>
    <row r="58" spans="1:18" x14ac:dyDescent="0.25">
      <c r="A58" s="27" t="s">
        <v>64</v>
      </c>
      <c r="B58" s="64">
        <v>4900</v>
      </c>
      <c r="C58" s="64">
        <v>6418</v>
      </c>
      <c r="D58" s="21">
        <v>6386</v>
      </c>
      <c r="E58" s="21">
        <v>6486</v>
      </c>
      <c r="F58" s="21">
        <v>6132</v>
      </c>
      <c r="G58" s="21">
        <v>7150</v>
      </c>
      <c r="H58" s="21">
        <v>6651</v>
      </c>
      <c r="I58" s="21">
        <v>4653</v>
      </c>
      <c r="J58" s="21">
        <v>5865</v>
      </c>
      <c r="K58" s="21">
        <v>6670</v>
      </c>
      <c r="L58" s="21">
        <v>5909</v>
      </c>
      <c r="M58" s="21">
        <v>4468</v>
      </c>
      <c r="N58" s="19">
        <f>SUM(B58:M58)</f>
        <v>71688</v>
      </c>
      <c r="O58" s="28"/>
      <c r="P58" s="28"/>
      <c r="Q58" s="28"/>
      <c r="R58" s="56"/>
    </row>
    <row r="59" spans="1:18" x14ac:dyDescent="0.25">
      <c r="A59" s="27" t="s">
        <v>65</v>
      </c>
      <c r="B59" s="64">
        <v>9561</v>
      </c>
      <c r="C59" s="64">
        <v>8881</v>
      </c>
      <c r="D59" s="21">
        <v>9949</v>
      </c>
      <c r="E59" s="21">
        <v>11190</v>
      </c>
      <c r="F59" s="21">
        <v>11164</v>
      </c>
      <c r="G59" s="21">
        <v>11290</v>
      </c>
      <c r="H59" s="21">
        <v>11499</v>
      </c>
      <c r="I59" s="21">
        <v>11723</v>
      </c>
      <c r="J59" s="21">
        <v>12259</v>
      </c>
      <c r="K59" s="21">
        <v>10644</v>
      </c>
      <c r="L59" s="21">
        <v>9647</v>
      </c>
      <c r="M59" s="21">
        <v>9642</v>
      </c>
      <c r="N59" s="19">
        <f>SUM(B59:M59)</f>
        <v>127449</v>
      </c>
      <c r="O59" s="28"/>
      <c r="P59" s="28"/>
      <c r="Q59" s="28"/>
      <c r="R59" s="56"/>
    </row>
    <row r="60" spans="1:18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56"/>
    </row>
    <row r="61" spans="1:18" ht="15.75" x14ac:dyDescent="0.25">
      <c r="A61" s="31" t="s">
        <v>66</v>
      </c>
      <c r="B61" s="63">
        <f>+B62+B63</f>
        <v>440585.96294609626</v>
      </c>
      <c r="C61" s="63">
        <f t="shared" ref="C61:N61" si="15">+C62+C63</f>
        <v>402403</v>
      </c>
      <c r="D61" s="32">
        <f t="shared" si="15"/>
        <v>435303</v>
      </c>
      <c r="E61" s="32">
        <f t="shared" si="15"/>
        <v>398590</v>
      </c>
      <c r="F61" s="32">
        <f t="shared" si="15"/>
        <v>459554</v>
      </c>
      <c r="G61" s="32">
        <f t="shared" si="15"/>
        <v>439778</v>
      </c>
      <c r="H61" s="32">
        <f t="shared" si="15"/>
        <v>458844</v>
      </c>
      <c r="I61" s="32">
        <f t="shared" si="15"/>
        <v>461255.42693299602</v>
      </c>
      <c r="J61" s="32">
        <f t="shared" si="15"/>
        <v>448605.15414895245</v>
      </c>
      <c r="K61" s="32">
        <f t="shared" si="15"/>
        <v>538929</v>
      </c>
      <c r="L61" s="32">
        <f t="shared" si="15"/>
        <v>857162</v>
      </c>
      <c r="M61" s="32">
        <f t="shared" si="15"/>
        <v>483681.2601429635</v>
      </c>
      <c r="N61" s="32">
        <f t="shared" si="15"/>
        <v>5824690.8041710081</v>
      </c>
      <c r="O61" s="61"/>
      <c r="P61" s="61"/>
      <c r="Q61" s="61"/>
      <c r="R61" s="62"/>
    </row>
    <row r="62" spans="1:18" x14ac:dyDescent="0.25">
      <c r="A62" s="27" t="s">
        <v>67</v>
      </c>
      <c r="B62" s="64">
        <v>348730.67162592482</v>
      </c>
      <c r="C62" s="64">
        <v>328944</v>
      </c>
      <c r="D62" s="21">
        <v>344985</v>
      </c>
      <c r="E62" s="21">
        <v>332860</v>
      </c>
      <c r="F62" s="21">
        <v>376331</v>
      </c>
      <c r="G62" s="21">
        <v>352365</v>
      </c>
      <c r="H62" s="21">
        <v>380236</v>
      </c>
      <c r="I62" s="21">
        <v>377312.42693299602</v>
      </c>
      <c r="J62" s="21">
        <v>373086.15414895245</v>
      </c>
      <c r="K62" s="21">
        <v>381102</v>
      </c>
      <c r="L62" s="21">
        <v>301964</v>
      </c>
      <c r="M62" s="21">
        <v>324482.2601429635</v>
      </c>
      <c r="N62" s="19">
        <f>SUM(B62:M62)</f>
        <v>4222398.5128508369</v>
      </c>
      <c r="O62" s="28"/>
      <c r="P62" s="28"/>
      <c r="Q62" s="28"/>
      <c r="R62" s="56"/>
    </row>
    <row r="63" spans="1:18" x14ac:dyDescent="0.25">
      <c r="A63" s="27" t="s">
        <v>68</v>
      </c>
      <c r="B63" s="64">
        <v>91855.29132017144</v>
      </c>
      <c r="C63" s="64">
        <v>73459</v>
      </c>
      <c r="D63" s="21">
        <v>90318</v>
      </c>
      <c r="E63" s="21">
        <v>65730</v>
      </c>
      <c r="F63" s="21">
        <v>83223</v>
      </c>
      <c r="G63" s="21">
        <v>87413</v>
      </c>
      <c r="H63" s="21">
        <v>78608</v>
      </c>
      <c r="I63" s="21">
        <v>83943</v>
      </c>
      <c r="J63" s="21">
        <v>75519</v>
      </c>
      <c r="K63" s="21">
        <v>157827</v>
      </c>
      <c r="L63" s="21">
        <v>555198</v>
      </c>
      <c r="M63" s="21">
        <v>159199</v>
      </c>
      <c r="N63" s="19">
        <f>SUM(B63:M63)</f>
        <v>1602292.2913201714</v>
      </c>
      <c r="O63" s="28"/>
      <c r="P63" s="28"/>
      <c r="Q63" s="28"/>
      <c r="R63" s="56"/>
    </row>
    <row r="64" spans="1:18" x14ac:dyDescent="0.25">
      <c r="A64" s="65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56"/>
    </row>
    <row r="65" spans="1:18" ht="15.75" x14ac:dyDescent="0.25">
      <c r="A65" s="31" t="s">
        <v>69</v>
      </c>
      <c r="B65" s="59">
        <v>494441</v>
      </c>
      <c r="C65" s="59">
        <v>445585</v>
      </c>
      <c r="D65" s="60">
        <v>492463</v>
      </c>
      <c r="E65" s="60">
        <v>480287</v>
      </c>
      <c r="F65" s="60">
        <v>511089</v>
      </c>
      <c r="G65" s="60">
        <v>495722</v>
      </c>
      <c r="H65" s="60">
        <v>510896</v>
      </c>
      <c r="I65" s="60">
        <v>512156</v>
      </c>
      <c r="J65" s="60">
        <v>496497</v>
      </c>
      <c r="K65" s="60">
        <v>511379</v>
      </c>
      <c r="L65" s="60">
        <v>494945</v>
      </c>
      <c r="M65" s="60">
        <v>508373</v>
      </c>
      <c r="N65" s="32">
        <f>SUM(B65:M65)</f>
        <v>5953833</v>
      </c>
      <c r="O65" s="61"/>
      <c r="P65" s="61"/>
      <c r="Q65" s="61"/>
      <c r="R65" s="62"/>
    </row>
    <row r="66" spans="1:18" ht="15.75" x14ac:dyDescent="0.25">
      <c r="A66" s="31" t="s">
        <v>70</v>
      </c>
      <c r="B66" s="59">
        <v>494441</v>
      </c>
      <c r="C66" s="59">
        <v>445585</v>
      </c>
      <c r="D66" s="60">
        <v>492463</v>
      </c>
      <c r="E66" s="60">
        <v>480287</v>
      </c>
      <c r="F66" s="60">
        <v>495757</v>
      </c>
      <c r="G66" s="60">
        <v>480850</v>
      </c>
      <c r="H66" s="60">
        <v>495569</v>
      </c>
      <c r="I66" s="60">
        <v>496791</v>
      </c>
      <c r="J66" s="60">
        <v>481602</v>
      </c>
      <c r="K66" s="60">
        <v>496037</v>
      </c>
      <c r="L66" s="60">
        <v>480097</v>
      </c>
      <c r="M66" s="60">
        <v>493122</v>
      </c>
      <c r="N66" s="32">
        <f>SUM(B66:M66)</f>
        <v>5832601</v>
      </c>
      <c r="O66" s="61"/>
      <c r="P66" s="61"/>
      <c r="Q66" s="61"/>
      <c r="R66" s="62"/>
    </row>
    <row r="67" spans="1:18" x14ac:dyDescent="0.25">
      <c r="A67" s="6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56"/>
    </row>
    <row r="68" spans="1:18" ht="15.75" x14ac:dyDescent="0.25">
      <c r="A68" s="31" t="s">
        <v>71</v>
      </c>
      <c r="B68" s="32">
        <f>+B69+B70+B71+B72+B73</f>
        <v>14703764.450001497</v>
      </c>
      <c r="C68" s="32">
        <f t="shared" ref="C68:N68" si="16">+C69+C70+C71+C72+C73</f>
        <v>14050041.539997546</v>
      </c>
      <c r="D68" s="32">
        <f t="shared" si="16"/>
        <v>14050212.329995684</v>
      </c>
      <c r="E68" s="32">
        <f>+E69+E70+E71+E72+E73</f>
        <v>15955158.830004048</v>
      </c>
      <c r="F68" s="32">
        <f>+F69+F70+F71+F72+F73</f>
        <v>15221606.939996725</v>
      </c>
      <c r="G68" s="32">
        <f t="shared" si="16"/>
        <v>15960389.970000861</v>
      </c>
      <c r="H68" s="32">
        <f t="shared" si="16"/>
        <v>17233706.36999483</v>
      </c>
      <c r="I68" s="32">
        <f t="shared" si="16"/>
        <v>17115235.57000285</v>
      </c>
      <c r="J68" s="32">
        <f t="shared" si="16"/>
        <v>17377181.530000798</v>
      </c>
      <c r="K68" s="32">
        <f t="shared" si="16"/>
        <v>16231816.149995191</v>
      </c>
      <c r="L68" s="32">
        <f t="shared" si="16"/>
        <v>15974237.159997128</v>
      </c>
      <c r="M68" s="32">
        <f t="shared" si="16"/>
        <v>15150208.670006609</v>
      </c>
      <c r="N68" s="32">
        <f t="shared" si="16"/>
        <v>189023559.50999379</v>
      </c>
      <c r="O68" s="61"/>
      <c r="P68" s="61"/>
      <c r="Q68" s="61"/>
      <c r="R68" s="62"/>
    </row>
    <row r="69" spans="1:18" x14ac:dyDescent="0.25">
      <c r="A69" s="27" t="s">
        <v>72</v>
      </c>
      <c r="B69" s="21">
        <v>11623658.270001538</v>
      </c>
      <c r="C69" s="21">
        <v>10991899.679997616</v>
      </c>
      <c r="D69" s="21">
        <v>11035806.239995668</v>
      </c>
      <c r="E69" s="21">
        <v>12482575.080003977</v>
      </c>
      <c r="F69" s="21">
        <v>11700068.719996709</v>
      </c>
      <c r="G69" s="21">
        <v>12339100.460000917</v>
      </c>
      <c r="H69" s="21">
        <v>13341524.92999487</v>
      </c>
      <c r="I69" s="21">
        <v>13188331.680002764</v>
      </c>
      <c r="J69" s="21">
        <v>13418895.550000723</v>
      </c>
      <c r="K69" s="21">
        <v>12481499.239995137</v>
      </c>
      <c r="L69" s="21">
        <v>12359175.30999708</v>
      </c>
      <c r="M69" s="21">
        <v>11926759.570006669</v>
      </c>
      <c r="N69" s="19">
        <f>SUM(B69:M69)</f>
        <v>146889294.72999367</v>
      </c>
      <c r="O69" s="28"/>
      <c r="P69" s="28"/>
      <c r="Q69" s="28"/>
      <c r="R69" s="56"/>
    </row>
    <row r="70" spans="1:18" x14ac:dyDescent="0.25">
      <c r="A70" s="27" t="s">
        <v>73</v>
      </c>
      <c r="B70" s="21">
        <v>1662891.5899999579</v>
      </c>
      <c r="C70" s="21">
        <v>1620274.839999933</v>
      </c>
      <c r="D70" s="21">
        <v>1569635.460000016</v>
      </c>
      <c r="E70" s="21">
        <v>1805357.7300000712</v>
      </c>
      <c r="F70" s="21">
        <v>1811752.960000016</v>
      </c>
      <c r="G70" s="21">
        <v>1853506.4899999467</v>
      </c>
      <c r="H70" s="21">
        <v>2018586.4099999587</v>
      </c>
      <c r="I70" s="21">
        <v>2082210.2700000845</v>
      </c>
      <c r="J70" s="21">
        <v>2069967.8700000749</v>
      </c>
      <c r="K70" s="21">
        <v>1910880.5300000531</v>
      </c>
      <c r="L70" s="21">
        <v>1900755.5300000478</v>
      </c>
      <c r="M70" s="21">
        <v>1670771.9499999415</v>
      </c>
      <c r="N70" s="19">
        <f>SUM(B70:M70)</f>
        <v>21976591.630000107</v>
      </c>
      <c r="O70" s="28"/>
      <c r="P70" s="28"/>
      <c r="Q70" s="28"/>
      <c r="R70" s="56"/>
    </row>
    <row r="71" spans="1:18" x14ac:dyDescent="0.25">
      <c r="A71" s="27" t="s">
        <v>74</v>
      </c>
      <c r="B71" s="21">
        <v>773320.37999999919</v>
      </c>
      <c r="C71" s="21">
        <v>750361.47999999928</v>
      </c>
      <c r="D71" s="21">
        <v>692372.95000000042</v>
      </c>
      <c r="E71" s="21">
        <v>840983.0699999996</v>
      </c>
      <c r="F71" s="21">
        <v>901557.89</v>
      </c>
      <c r="G71" s="21">
        <v>893147.39999999967</v>
      </c>
      <c r="H71" s="21">
        <v>1000413.1800000003</v>
      </c>
      <c r="I71" s="21">
        <v>1031096.2399999999</v>
      </c>
      <c r="J71" s="21">
        <v>988518.98999999941</v>
      </c>
      <c r="K71" s="21">
        <v>973147.9800000008</v>
      </c>
      <c r="L71" s="21">
        <v>924747.74000000057</v>
      </c>
      <c r="M71" s="21">
        <v>836520.28999999922</v>
      </c>
      <c r="N71" s="19">
        <f>SUM(B71:M71)</f>
        <v>10606187.589999998</v>
      </c>
      <c r="O71" s="28"/>
      <c r="P71" s="28"/>
      <c r="Q71" s="28"/>
      <c r="R71" s="56"/>
    </row>
    <row r="72" spans="1:18" x14ac:dyDescent="0.25">
      <c r="A72" s="27" t="s">
        <v>75</v>
      </c>
      <c r="B72" s="21">
        <v>209039.14000000007</v>
      </c>
      <c r="C72" s="21">
        <v>402256.8699999997</v>
      </c>
      <c r="D72" s="21">
        <v>284338.64</v>
      </c>
      <c r="E72" s="21">
        <v>294755.65999999992</v>
      </c>
      <c r="F72" s="21">
        <v>278042.17</v>
      </c>
      <c r="G72" s="21">
        <v>335210.20999999967</v>
      </c>
      <c r="H72" s="21">
        <v>310823.81000000035</v>
      </c>
      <c r="I72" s="21">
        <v>223268.65999999989</v>
      </c>
      <c r="J72" s="21">
        <v>277762.54999999993</v>
      </c>
      <c r="K72" s="21">
        <v>327537.90999999997</v>
      </c>
      <c r="L72" s="21">
        <v>283071.83999999991</v>
      </c>
      <c r="M72" s="21">
        <v>204357.16000000009</v>
      </c>
      <c r="N72" s="19">
        <f>SUM(B72:M72)</f>
        <v>3430464.6199999992</v>
      </c>
      <c r="O72" s="28"/>
      <c r="P72" s="28"/>
      <c r="Q72" s="28"/>
      <c r="R72" s="56"/>
    </row>
    <row r="73" spans="1:18" x14ac:dyDescent="0.25">
      <c r="A73" s="27" t="s">
        <v>76</v>
      </c>
      <c r="B73" s="21">
        <v>434855.07000000036</v>
      </c>
      <c r="C73" s="21">
        <v>285248.66999999987</v>
      </c>
      <c r="D73" s="21">
        <v>468059.04</v>
      </c>
      <c r="E73" s="21">
        <v>531487.28999999934</v>
      </c>
      <c r="F73" s="21">
        <v>530185.19999999995</v>
      </c>
      <c r="G73" s="21">
        <v>539425.4099999991</v>
      </c>
      <c r="H73" s="21">
        <v>562358.04000000074</v>
      </c>
      <c r="I73" s="21">
        <v>590328.71999999939</v>
      </c>
      <c r="J73" s="21">
        <v>622036.56999999983</v>
      </c>
      <c r="K73" s="21">
        <v>538750.48999999953</v>
      </c>
      <c r="L73" s="21">
        <v>506486.73999999929</v>
      </c>
      <c r="M73" s="21">
        <v>511799.69999999955</v>
      </c>
      <c r="N73" s="19">
        <f>SUM(B73:M73)</f>
        <v>6121020.9399999967</v>
      </c>
      <c r="O73" s="28"/>
      <c r="P73" s="28"/>
      <c r="Q73" s="28"/>
      <c r="R73" s="56"/>
    </row>
    <row r="74" spans="1:18" x14ac:dyDescent="0.25">
      <c r="A74" s="27"/>
      <c r="B74" s="66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56"/>
    </row>
    <row r="75" spans="1:18" ht="15.75" x14ac:dyDescent="0.25">
      <c r="A75" s="31" t="s">
        <v>77</v>
      </c>
      <c r="B75" s="32">
        <f t="shared" ref="B75:M75" si="17">SUM(B76:B80)</f>
        <v>16667371.220000001</v>
      </c>
      <c r="C75" s="32">
        <f t="shared" si="17"/>
        <v>12223870.209999997</v>
      </c>
      <c r="D75" s="32">
        <f t="shared" si="17"/>
        <v>12168050.389999999</v>
      </c>
      <c r="E75" s="32">
        <f t="shared" si="17"/>
        <v>10241126.399999999</v>
      </c>
      <c r="F75" s="32">
        <f t="shared" si="17"/>
        <v>12159945.519999998</v>
      </c>
      <c r="G75" s="32">
        <f t="shared" si="17"/>
        <v>11740878.67</v>
      </c>
      <c r="H75" s="32">
        <f t="shared" si="17"/>
        <v>12168949.200000001</v>
      </c>
      <c r="I75" s="32">
        <f t="shared" si="17"/>
        <v>12707900.76</v>
      </c>
      <c r="J75" s="32">
        <f t="shared" si="17"/>
        <v>12327274.870000001</v>
      </c>
      <c r="K75" s="32">
        <f t="shared" si="17"/>
        <v>12986902.380000001</v>
      </c>
      <c r="L75" s="32">
        <f t="shared" si="17"/>
        <v>12295575.790000001</v>
      </c>
      <c r="M75" s="32">
        <f t="shared" si="17"/>
        <v>11548257.699999999</v>
      </c>
      <c r="N75" s="32">
        <f t="shared" ref="N75:N80" si="18">SUM(B75:M75)</f>
        <v>149236103.10999998</v>
      </c>
      <c r="O75" s="61"/>
      <c r="P75" s="61"/>
      <c r="Q75" s="61"/>
      <c r="R75" s="62"/>
    </row>
    <row r="76" spans="1:18" x14ac:dyDescent="0.25">
      <c r="A76" s="27" t="s">
        <v>78</v>
      </c>
      <c r="B76" s="21">
        <v>14144406.460000001</v>
      </c>
      <c r="C76" s="21">
        <v>9547569.2699999996</v>
      </c>
      <c r="D76" s="21">
        <v>9376818.6699999999</v>
      </c>
      <c r="E76" s="21">
        <v>7585195.5</v>
      </c>
      <c r="F76" s="21">
        <v>9258964.2599999998</v>
      </c>
      <c r="G76" s="21">
        <v>8692519.9800000004</v>
      </c>
      <c r="H76" s="21">
        <v>9206171.4900000002</v>
      </c>
      <c r="I76" s="21">
        <v>9320842.2100000009</v>
      </c>
      <c r="J76" s="21">
        <v>9087960.3100000005</v>
      </c>
      <c r="K76" s="21">
        <v>9768303.0500000007</v>
      </c>
      <c r="L76" s="21">
        <v>9230799.0099999998</v>
      </c>
      <c r="M76" s="21">
        <v>8816688.5800000001</v>
      </c>
      <c r="N76" s="19">
        <f t="shared" si="18"/>
        <v>114036238.79000001</v>
      </c>
      <c r="O76" s="28"/>
      <c r="P76" s="28"/>
      <c r="Q76" s="28"/>
      <c r="R76" s="56"/>
    </row>
    <row r="77" spans="1:18" x14ac:dyDescent="0.25">
      <c r="A77" s="27" t="s">
        <v>79</v>
      </c>
      <c r="B77" s="21">
        <v>1647106.29</v>
      </c>
      <c r="C77" s="21">
        <v>1512078.54</v>
      </c>
      <c r="D77" s="21">
        <v>1565494.33</v>
      </c>
      <c r="E77" s="21">
        <v>1480929.17</v>
      </c>
      <c r="F77" s="21">
        <v>1655424.36</v>
      </c>
      <c r="G77" s="21">
        <v>1670733.27</v>
      </c>
      <c r="H77" s="21">
        <v>1714728.06</v>
      </c>
      <c r="I77" s="21">
        <v>1834982.13</v>
      </c>
      <c r="J77" s="21">
        <v>1781488.91</v>
      </c>
      <c r="K77" s="21">
        <v>1824655.92</v>
      </c>
      <c r="L77" s="21">
        <v>1899388.7</v>
      </c>
      <c r="M77" s="21">
        <v>1561486.02</v>
      </c>
      <c r="N77" s="19">
        <f t="shared" si="18"/>
        <v>20148495.700000003</v>
      </c>
      <c r="O77" s="28"/>
      <c r="P77" s="28"/>
      <c r="Q77" s="28"/>
      <c r="R77" s="56"/>
    </row>
    <row r="78" spans="1:18" x14ac:dyDescent="0.25">
      <c r="A78" s="27" t="s">
        <v>80</v>
      </c>
      <c r="B78" s="21">
        <v>623011.67000000004</v>
      </c>
      <c r="C78" s="21">
        <v>753160.36</v>
      </c>
      <c r="D78" s="21">
        <v>852965.2</v>
      </c>
      <c r="E78" s="21">
        <v>819847.78</v>
      </c>
      <c r="F78" s="21">
        <v>841682.01</v>
      </c>
      <c r="G78" s="21">
        <v>897098.58</v>
      </c>
      <c r="H78" s="21">
        <v>920954.16</v>
      </c>
      <c r="I78" s="21">
        <v>1017750.03</v>
      </c>
      <c r="J78" s="21">
        <v>1029854.29</v>
      </c>
      <c r="K78" s="21">
        <v>987688.31</v>
      </c>
      <c r="L78" s="21">
        <v>779447.63</v>
      </c>
      <c r="M78" s="21">
        <v>798335.33</v>
      </c>
      <c r="N78" s="19">
        <f t="shared" si="18"/>
        <v>10321795.350000001</v>
      </c>
      <c r="O78" s="28"/>
      <c r="P78" s="28"/>
      <c r="Q78" s="28"/>
      <c r="R78" s="56"/>
    </row>
    <row r="79" spans="1:18" x14ac:dyDescent="0.25">
      <c r="A79" s="27" t="s">
        <v>81</v>
      </c>
      <c r="B79" s="21">
        <v>17107.32</v>
      </c>
      <c r="C79" s="21">
        <v>25791.7</v>
      </c>
      <c r="D79" s="21">
        <v>72056.33</v>
      </c>
      <c r="E79" s="21">
        <v>59849.58</v>
      </c>
      <c r="F79" s="21">
        <v>50854.94</v>
      </c>
      <c r="G79" s="21">
        <v>344286.12</v>
      </c>
      <c r="H79" s="21">
        <v>323136.17</v>
      </c>
      <c r="I79" s="21">
        <v>456241.42</v>
      </c>
      <c r="J79" s="21">
        <v>390609.54</v>
      </c>
      <c r="K79" s="21">
        <v>341965.84</v>
      </c>
      <c r="L79" s="21">
        <v>336286.56</v>
      </c>
      <c r="M79" s="21">
        <v>334901.28000000003</v>
      </c>
      <c r="N79" s="19">
        <f t="shared" si="18"/>
        <v>2753086.8</v>
      </c>
      <c r="O79" s="28"/>
      <c r="P79" s="28"/>
      <c r="Q79" s="28"/>
      <c r="R79" s="56"/>
    </row>
    <row r="80" spans="1:18" x14ac:dyDescent="0.25">
      <c r="A80" s="27" t="s">
        <v>82</v>
      </c>
      <c r="B80" s="21">
        <v>235739.48</v>
      </c>
      <c r="C80" s="21">
        <v>385270.34</v>
      </c>
      <c r="D80" s="21">
        <v>300715.86</v>
      </c>
      <c r="E80" s="21">
        <v>295304.37</v>
      </c>
      <c r="F80" s="21">
        <v>353019.95</v>
      </c>
      <c r="G80" s="21">
        <v>136240.72</v>
      </c>
      <c r="H80" s="21">
        <v>3959.32</v>
      </c>
      <c r="I80" s="21">
        <v>78084.97</v>
      </c>
      <c r="J80" s="21">
        <v>37361.82</v>
      </c>
      <c r="K80" s="21">
        <v>64289.26</v>
      </c>
      <c r="L80" s="21">
        <v>49653.89</v>
      </c>
      <c r="M80" s="21">
        <v>36846.49</v>
      </c>
      <c r="N80" s="19">
        <f t="shared" si="18"/>
        <v>1976486.47</v>
      </c>
      <c r="O80" s="28"/>
      <c r="P80" s="28"/>
      <c r="Q80" s="28"/>
      <c r="R80" s="56"/>
    </row>
    <row r="81" spans="1:18" x14ac:dyDescent="0.25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9"/>
      <c r="O81" s="68"/>
      <c r="P81" s="68"/>
      <c r="Q81" s="68"/>
      <c r="R81" s="70"/>
    </row>
    <row r="82" spans="1:18" x14ac:dyDescent="0.25">
      <c r="A82" s="27" t="s">
        <v>83</v>
      </c>
      <c r="B82" s="21">
        <v>14244541.76</v>
      </c>
      <c r="C82" s="21">
        <v>9960645.1099999994</v>
      </c>
      <c r="D82" s="21">
        <v>9418720.4199999999</v>
      </c>
      <c r="E82" s="21">
        <v>8271248.3200000003</v>
      </c>
      <c r="F82" s="21">
        <v>9685237.2100000009</v>
      </c>
      <c r="G82" s="21">
        <v>9040557.0399999991</v>
      </c>
      <c r="H82" s="21">
        <v>9732292.7200000007</v>
      </c>
      <c r="I82" s="21">
        <v>9924020.9499999993</v>
      </c>
      <c r="J82" s="21">
        <v>9950124.4600000009</v>
      </c>
      <c r="K82" s="21">
        <v>10419854.140000001</v>
      </c>
      <c r="L82" s="21">
        <v>9124711</v>
      </c>
      <c r="M82" s="21">
        <v>9242547.9800000004</v>
      </c>
      <c r="N82" s="19"/>
      <c r="O82" s="28"/>
      <c r="P82" s="28"/>
      <c r="Q82" s="28"/>
      <c r="R82" s="56"/>
    </row>
    <row r="83" spans="1:18" x14ac:dyDescent="0.25">
      <c r="A83" s="27" t="s">
        <v>84</v>
      </c>
      <c r="B83" s="21">
        <v>2422829.46</v>
      </c>
      <c r="C83" s="21">
        <v>2263225.1</v>
      </c>
      <c r="D83" s="21">
        <v>2749329.97</v>
      </c>
      <c r="E83" s="21">
        <v>1969878.08</v>
      </c>
      <c r="F83" s="21">
        <v>2474708.31</v>
      </c>
      <c r="G83" s="21">
        <v>2700321.63</v>
      </c>
      <c r="H83" s="21">
        <v>2436656.48</v>
      </c>
      <c r="I83" s="21">
        <v>2783879.81</v>
      </c>
      <c r="J83" s="21">
        <v>2377150.41</v>
      </c>
      <c r="K83" s="21">
        <v>2567048.2400000002</v>
      </c>
      <c r="L83" s="21">
        <v>3170864.79</v>
      </c>
      <c r="M83" s="21">
        <v>2305709.7200000002</v>
      </c>
      <c r="N83" s="19"/>
      <c r="O83" s="28"/>
      <c r="P83" s="28"/>
      <c r="Q83" s="28"/>
      <c r="R83" s="56"/>
    </row>
    <row r="84" spans="1:18" x14ac:dyDescent="0.25">
      <c r="A84" s="27"/>
      <c r="B84" s="66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56"/>
    </row>
    <row r="85" spans="1:18" x14ac:dyDescent="0.25">
      <c r="A85" s="71" t="s">
        <v>85</v>
      </c>
      <c r="B85" s="72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56"/>
    </row>
    <row r="86" spans="1:18" ht="15.75" x14ac:dyDescent="0.25">
      <c r="A86" s="31" t="s">
        <v>86</v>
      </c>
      <c r="B86" s="63">
        <f>+B87+B93</f>
        <v>39516</v>
      </c>
      <c r="C86" s="63">
        <f t="shared" ref="C86:M86" si="19">+C87+C93</f>
        <v>39531</v>
      </c>
      <c r="D86" s="63">
        <f t="shared" si="19"/>
        <v>39577</v>
      </c>
      <c r="E86" s="63">
        <f t="shared" si="19"/>
        <v>39589</v>
      </c>
      <c r="F86" s="63">
        <f t="shared" si="19"/>
        <v>39619</v>
      </c>
      <c r="G86" s="63">
        <f t="shared" si="19"/>
        <v>39647</v>
      </c>
      <c r="H86" s="63">
        <f t="shared" si="19"/>
        <v>39676</v>
      </c>
      <c r="I86" s="63">
        <f t="shared" si="19"/>
        <v>39703</v>
      </c>
      <c r="J86" s="63">
        <f t="shared" si="19"/>
        <v>39731</v>
      </c>
      <c r="K86" s="63">
        <f t="shared" si="19"/>
        <v>39744</v>
      </c>
      <c r="L86" s="63">
        <f t="shared" si="19"/>
        <v>39758</v>
      </c>
      <c r="M86" s="63">
        <f t="shared" si="19"/>
        <v>39771</v>
      </c>
      <c r="N86" s="73"/>
      <c r="O86" s="73"/>
      <c r="P86" s="61"/>
      <c r="Q86" s="61"/>
      <c r="R86" s="62"/>
    </row>
    <row r="87" spans="1:18" x14ac:dyDescent="0.25">
      <c r="A87" s="74" t="s">
        <v>87</v>
      </c>
      <c r="B87" s="75">
        <f>+B88+B89+B90+B91+B92</f>
        <v>36763</v>
      </c>
      <c r="C87" s="75">
        <f t="shared" ref="C87:M87" si="20">+C88+C89+C90+C91+C92</f>
        <v>36799</v>
      </c>
      <c r="D87" s="75">
        <f t="shared" si="20"/>
        <v>36872</v>
      </c>
      <c r="E87" s="75">
        <f t="shared" si="20"/>
        <v>36889</v>
      </c>
      <c r="F87" s="75">
        <f t="shared" si="20"/>
        <v>36935</v>
      </c>
      <c r="G87" s="75">
        <f t="shared" si="20"/>
        <v>36968</v>
      </c>
      <c r="H87" s="75">
        <f t="shared" si="20"/>
        <v>37009</v>
      </c>
      <c r="I87" s="75">
        <f t="shared" si="20"/>
        <v>37037</v>
      </c>
      <c r="J87" s="75">
        <f t="shared" si="20"/>
        <v>37072</v>
      </c>
      <c r="K87" s="75">
        <f t="shared" si="20"/>
        <v>37092</v>
      </c>
      <c r="L87" s="75">
        <f t="shared" si="20"/>
        <v>37118</v>
      </c>
      <c r="M87" s="75">
        <f t="shared" si="20"/>
        <v>37152</v>
      </c>
      <c r="N87" s="76"/>
      <c r="O87" s="76"/>
      <c r="P87" s="66"/>
      <c r="Q87" s="66"/>
      <c r="R87" s="77"/>
    </row>
    <row r="88" spans="1:18" x14ac:dyDescent="0.25">
      <c r="A88" s="24" t="s">
        <v>88</v>
      </c>
      <c r="B88" s="64">
        <v>33796</v>
      </c>
      <c r="C88" s="64">
        <v>33824</v>
      </c>
      <c r="D88" s="64">
        <v>33885</v>
      </c>
      <c r="E88" s="64">
        <v>33903</v>
      </c>
      <c r="F88" s="64">
        <v>33940</v>
      </c>
      <c r="G88" s="64">
        <v>33960</v>
      </c>
      <c r="H88" s="64">
        <v>33989</v>
      </c>
      <c r="I88" s="64">
        <v>34012</v>
      </c>
      <c r="J88" s="64">
        <v>34045</v>
      </c>
      <c r="K88" s="64">
        <v>34067</v>
      </c>
      <c r="L88" s="64">
        <v>34089</v>
      </c>
      <c r="M88" s="64">
        <v>34124</v>
      </c>
      <c r="N88" s="72"/>
      <c r="O88" s="72"/>
      <c r="P88" s="28"/>
      <c r="Q88" s="28"/>
      <c r="R88" s="56"/>
    </row>
    <row r="89" spans="1:18" x14ac:dyDescent="0.25">
      <c r="A89" s="24" t="s">
        <v>89</v>
      </c>
      <c r="B89" s="64">
        <v>2513</v>
      </c>
      <c r="C89" s="64">
        <v>2519</v>
      </c>
      <c r="D89" s="64">
        <v>2532</v>
      </c>
      <c r="E89" s="64">
        <v>2532</v>
      </c>
      <c r="F89" s="64">
        <v>2539</v>
      </c>
      <c r="G89" s="64">
        <v>2547</v>
      </c>
      <c r="H89" s="64">
        <v>2559</v>
      </c>
      <c r="I89" s="64">
        <v>2564</v>
      </c>
      <c r="J89" s="64">
        <v>2565</v>
      </c>
      <c r="K89" s="64">
        <v>2562</v>
      </c>
      <c r="L89" s="64">
        <v>2566</v>
      </c>
      <c r="M89" s="64">
        <v>2565</v>
      </c>
      <c r="N89" s="72"/>
      <c r="O89" s="72"/>
      <c r="P89" s="28"/>
      <c r="Q89" s="28"/>
      <c r="R89" s="56"/>
    </row>
    <row r="90" spans="1:18" x14ac:dyDescent="0.25">
      <c r="A90" s="24" t="s">
        <v>90</v>
      </c>
      <c r="B90" s="64">
        <v>110</v>
      </c>
      <c r="C90" s="64">
        <v>111</v>
      </c>
      <c r="D90" s="64">
        <v>110</v>
      </c>
      <c r="E90" s="64">
        <v>110</v>
      </c>
      <c r="F90" s="64">
        <v>112</v>
      </c>
      <c r="G90" s="64">
        <v>113</v>
      </c>
      <c r="H90" s="64">
        <v>113</v>
      </c>
      <c r="I90" s="64">
        <v>113</v>
      </c>
      <c r="J90" s="64">
        <v>114</v>
      </c>
      <c r="K90" s="64">
        <v>115</v>
      </c>
      <c r="L90" s="64">
        <v>115</v>
      </c>
      <c r="M90" s="64">
        <v>115</v>
      </c>
      <c r="N90" s="72"/>
      <c r="O90" s="72"/>
      <c r="P90" s="28"/>
      <c r="Q90" s="28"/>
      <c r="R90" s="56"/>
    </row>
    <row r="91" spans="1:18" x14ac:dyDescent="0.25">
      <c r="A91" s="24" t="s">
        <v>91</v>
      </c>
      <c r="B91" s="64">
        <v>123</v>
      </c>
      <c r="C91" s="64">
        <v>123</v>
      </c>
      <c r="D91" s="64">
        <v>123</v>
      </c>
      <c r="E91" s="64">
        <v>123</v>
      </c>
      <c r="F91" s="64">
        <v>123</v>
      </c>
      <c r="G91" s="64">
        <v>123</v>
      </c>
      <c r="H91" s="64">
        <v>123</v>
      </c>
      <c r="I91" s="64">
        <v>123</v>
      </c>
      <c r="J91" s="64">
        <v>123</v>
      </c>
      <c r="K91" s="64">
        <v>123</v>
      </c>
      <c r="L91" s="64">
        <v>123</v>
      </c>
      <c r="M91" s="64">
        <v>123</v>
      </c>
      <c r="N91" s="72"/>
      <c r="O91" s="72"/>
      <c r="P91" s="28"/>
      <c r="Q91" s="28"/>
      <c r="R91" s="56"/>
    </row>
    <row r="92" spans="1:18" x14ac:dyDescent="0.25">
      <c r="A92" s="24" t="s">
        <v>92</v>
      </c>
      <c r="B92" s="64">
        <v>221</v>
      </c>
      <c r="C92" s="64">
        <v>222</v>
      </c>
      <c r="D92" s="64">
        <v>222</v>
      </c>
      <c r="E92" s="64">
        <v>221</v>
      </c>
      <c r="F92" s="64">
        <v>221</v>
      </c>
      <c r="G92" s="64">
        <v>225</v>
      </c>
      <c r="H92" s="64">
        <v>225</v>
      </c>
      <c r="I92" s="64">
        <v>225</v>
      </c>
      <c r="J92" s="64">
        <v>225</v>
      </c>
      <c r="K92" s="64">
        <v>225</v>
      </c>
      <c r="L92" s="64">
        <v>225</v>
      </c>
      <c r="M92" s="64">
        <v>225</v>
      </c>
      <c r="N92" s="72"/>
      <c r="O92" s="72"/>
      <c r="P92" s="28"/>
      <c r="Q92" s="28"/>
      <c r="R92" s="56"/>
    </row>
    <row r="93" spans="1:18" x14ac:dyDescent="0.25">
      <c r="A93" s="74" t="s">
        <v>93</v>
      </c>
      <c r="B93" s="75">
        <f>+B94+B95+B96+B97+B98</f>
        <v>2753</v>
      </c>
      <c r="C93" s="75">
        <f t="shared" ref="C93:M93" si="21">+C94+C95+C96+C97+C98</f>
        <v>2732</v>
      </c>
      <c r="D93" s="75">
        <f t="shared" si="21"/>
        <v>2705</v>
      </c>
      <c r="E93" s="75">
        <f t="shared" si="21"/>
        <v>2700</v>
      </c>
      <c r="F93" s="75">
        <f t="shared" si="21"/>
        <v>2684</v>
      </c>
      <c r="G93" s="75">
        <f t="shared" si="21"/>
        <v>2679</v>
      </c>
      <c r="H93" s="75">
        <f t="shared" si="21"/>
        <v>2667</v>
      </c>
      <c r="I93" s="75">
        <f t="shared" si="21"/>
        <v>2666</v>
      </c>
      <c r="J93" s="75">
        <f t="shared" si="21"/>
        <v>2659</v>
      </c>
      <c r="K93" s="75">
        <f t="shared" si="21"/>
        <v>2652</v>
      </c>
      <c r="L93" s="75">
        <f t="shared" si="21"/>
        <v>2640</v>
      </c>
      <c r="M93" s="75">
        <f t="shared" si="21"/>
        <v>2619</v>
      </c>
      <c r="N93" s="76"/>
      <c r="O93" s="76"/>
      <c r="P93" s="66"/>
      <c r="Q93" s="66"/>
      <c r="R93" s="77"/>
    </row>
    <row r="94" spans="1:18" x14ac:dyDescent="0.25">
      <c r="A94" s="24" t="s">
        <v>94</v>
      </c>
      <c r="B94" s="64">
        <v>2706</v>
      </c>
      <c r="C94" s="64">
        <v>2685</v>
      </c>
      <c r="D94" s="64">
        <v>2658</v>
      </c>
      <c r="E94" s="64">
        <v>2652</v>
      </c>
      <c r="F94" s="64">
        <v>2636</v>
      </c>
      <c r="G94" s="64">
        <v>2630</v>
      </c>
      <c r="H94" s="64">
        <v>2618</v>
      </c>
      <c r="I94" s="64">
        <v>2617</v>
      </c>
      <c r="J94" s="64">
        <v>2610</v>
      </c>
      <c r="K94" s="64">
        <v>2603</v>
      </c>
      <c r="L94" s="64">
        <v>2591</v>
      </c>
      <c r="M94" s="64">
        <v>2570</v>
      </c>
      <c r="N94" s="72"/>
      <c r="O94" s="72"/>
      <c r="P94" s="28"/>
      <c r="Q94" s="28"/>
      <c r="R94" s="56"/>
    </row>
    <row r="95" spans="1:18" x14ac:dyDescent="0.25">
      <c r="A95" s="24" t="s">
        <v>95</v>
      </c>
      <c r="B95" s="64">
        <v>44</v>
      </c>
      <c r="C95" s="64">
        <v>44</v>
      </c>
      <c r="D95" s="64">
        <v>44</v>
      </c>
      <c r="E95" s="64">
        <v>45</v>
      </c>
      <c r="F95" s="64">
        <v>45</v>
      </c>
      <c r="G95" s="64">
        <v>46</v>
      </c>
      <c r="H95" s="64">
        <v>46</v>
      </c>
      <c r="I95" s="64">
        <v>46</v>
      </c>
      <c r="J95" s="64">
        <v>46</v>
      </c>
      <c r="K95" s="64">
        <v>46</v>
      </c>
      <c r="L95" s="64">
        <v>46</v>
      </c>
      <c r="M95" s="64">
        <v>46</v>
      </c>
      <c r="N95" s="72"/>
      <c r="O95" s="72"/>
      <c r="P95" s="28"/>
      <c r="Q95" s="28"/>
      <c r="R95" s="56"/>
    </row>
    <row r="96" spans="1:18" x14ac:dyDescent="0.25">
      <c r="A96" s="24" t="s">
        <v>96</v>
      </c>
      <c r="B96" s="64">
        <v>2</v>
      </c>
      <c r="C96" s="64">
        <v>2</v>
      </c>
      <c r="D96" s="64">
        <v>2</v>
      </c>
      <c r="E96" s="64">
        <v>2</v>
      </c>
      <c r="F96" s="64">
        <v>2</v>
      </c>
      <c r="G96" s="64">
        <v>2</v>
      </c>
      <c r="H96" s="64">
        <v>2</v>
      </c>
      <c r="I96" s="64">
        <v>2</v>
      </c>
      <c r="J96" s="64">
        <v>2</v>
      </c>
      <c r="K96" s="64">
        <v>2</v>
      </c>
      <c r="L96" s="64">
        <v>2</v>
      </c>
      <c r="M96" s="64">
        <v>2</v>
      </c>
      <c r="N96" s="72"/>
      <c r="O96" s="72"/>
      <c r="P96" s="28"/>
      <c r="Q96" s="28"/>
      <c r="R96" s="56"/>
    </row>
    <row r="97" spans="1:18" x14ac:dyDescent="0.25">
      <c r="A97" s="24" t="s">
        <v>97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72"/>
      <c r="O97" s="72"/>
      <c r="P97" s="28"/>
      <c r="Q97" s="28"/>
      <c r="R97" s="56"/>
    </row>
    <row r="98" spans="1:18" x14ac:dyDescent="0.25">
      <c r="A98" s="24" t="s">
        <v>98</v>
      </c>
      <c r="B98" s="64">
        <v>1</v>
      </c>
      <c r="C98" s="64">
        <v>1</v>
      </c>
      <c r="D98" s="64">
        <v>1</v>
      </c>
      <c r="E98" s="64">
        <v>1</v>
      </c>
      <c r="F98" s="64">
        <v>1</v>
      </c>
      <c r="G98" s="64">
        <v>1</v>
      </c>
      <c r="H98" s="64">
        <v>1</v>
      </c>
      <c r="I98" s="64">
        <v>1</v>
      </c>
      <c r="J98" s="64">
        <v>1</v>
      </c>
      <c r="K98" s="64">
        <v>1</v>
      </c>
      <c r="L98" s="64">
        <v>1</v>
      </c>
      <c r="M98" s="64">
        <v>1</v>
      </c>
      <c r="N98" s="72"/>
      <c r="O98" s="72"/>
      <c r="P98" s="28"/>
      <c r="Q98" s="28"/>
      <c r="R98" s="56"/>
    </row>
    <row r="99" spans="1:18" ht="15.75" x14ac:dyDescent="0.25">
      <c r="A99" s="31" t="s">
        <v>99</v>
      </c>
      <c r="B99" s="59">
        <v>38726</v>
      </c>
      <c r="C99" s="59">
        <v>38740</v>
      </c>
      <c r="D99" s="59">
        <v>38785</v>
      </c>
      <c r="E99" s="59">
        <v>38797</v>
      </c>
      <c r="F99" s="59">
        <v>38826.620000000003</v>
      </c>
      <c r="G99" s="59">
        <v>38854</v>
      </c>
      <c r="H99" s="59">
        <v>38882</v>
      </c>
      <c r="I99" s="59">
        <v>38909</v>
      </c>
      <c r="J99" s="59">
        <v>38936.379999999997</v>
      </c>
      <c r="K99" s="59">
        <v>38949</v>
      </c>
      <c r="L99" s="59">
        <v>38963</v>
      </c>
      <c r="M99" s="59">
        <v>38976</v>
      </c>
      <c r="N99" s="73"/>
      <c r="O99" s="73"/>
      <c r="P99" s="61"/>
      <c r="Q99" s="61"/>
      <c r="R99" s="62"/>
    </row>
    <row r="100" spans="1:18" x14ac:dyDescent="0.25">
      <c r="A100" s="65"/>
      <c r="B100" s="72"/>
      <c r="C100" s="28"/>
      <c r="D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56"/>
    </row>
    <row r="101" spans="1:18" ht="15.75" x14ac:dyDescent="0.25">
      <c r="A101" s="78" t="s">
        <v>100</v>
      </c>
      <c r="B101" s="72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56"/>
    </row>
    <row r="102" spans="1:18" ht="15.75" x14ac:dyDescent="0.25">
      <c r="A102" s="31" t="s">
        <v>101</v>
      </c>
      <c r="B102" s="32">
        <f>+B103+B107+B108</f>
        <v>102090240.0999997</v>
      </c>
      <c r="C102" s="32">
        <f t="shared" ref="C102:M102" si="22">+C103+C107+C108</f>
        <v>103594562.25999999</v>
      </c>
      <c r="D102" s="32">
        <f t="shared" si="22"/>
        <v>104251831.70000018</v>
      </c>
      <c r="E102" s="32">
        <f t="shared" si="22"/>
        <v>105480309.86999983</v>
      </c>
      <c r="F102" s="32">
        <f t="shared" si="22"/>
        <v>106850788.07000023</v>
      </c>
      <c r="G102" s="32">
        <f t="shared" si="22"/>
        <v>107724878.53000017</v>
      </c>
      <c r="H102" s="32">
        <f t="shared" si="22"/>
        <v>109030292.35999984</v>
      </c>
      <c r="I102" s="32">
        <f t="shared" si="22"/>
        <v>111169295.45000048</v>
      </c>
      <c r="J102" s="32">
        <f t="shared" si="22"/>
        <v>112233383.29999955</v>
      </c>
      <c r="K102" s="32">
        <f t="shared" si="22"/>
        <v>111049723.53000028</v>
      </c>
      <c r="L102" s="32">
        <f t="shared" si="22"/>
        <v>93077236.980000183</v>
      </c>
      <c r="M102" s="32">
        <f t="shared" si="22"/>
        <v>91195528.200000212</v>
      </c>
      <c r="N102" s="61"/>
      <c r="O102" s="61"/>
      <c r="P102" s="61"/>
      <c r="Q102" s="61"/>
      <c r="R102" s="62"/>
    </row>
    <row r="103" spans="1:18" x14ac:dyDescent="0.25">
      <c r="A103" s="27" t="s">
        <v>102</v>
      </c>
      <c r="B103" s="19">
        <f>+B104+B105+B106</f>
        <v>58599591.379999697</v>
      </c>
      <c r="C103" s="19">
        <f t="shared" ref="C103:M103" si="23">+C104+C105+C106</f>
        <v>59931252.819999978</v>
      </c>
      <c r="D103" s="19">
        <f t="shared" si="23"/>
        <v>60229003.020000175</v>
      </c>
      <c r="E103" s="19">
        <f t="shared" si="23"/>
        <v>61041507.509999834</v>
      </c>
      <c r="F103" s="19">
        <f t="shared" si="23"/>
        <v>62003218.070000239</v>
      </c>
      <c r="G103" s="19">
        <f t="shared" si="23"/>
        <v>62545994.530000165</v>
      </c>
      <c r="H103" s="19">
        <f t="shared" si="23"/>
        <v>63342410.359999835</v>
      </c>
      <c r="I103" s="19">
        <f t="shared" si="23"/>
        <v>64520733.650000475</v>
      </c>
      <c r="J103" s="19">
        <f t="shared" si="23"/>
        <v>65823661.799999543</v>
      </c>
      <c r="K103" s="19">
        <f t="shared" si="23"/>
        <v>64203510.530000284</v>
      </c>
      <c r="L103" s="19">
        <f t="shared" si="23"/>
        <v>45725362.980000183</v>
      </c>
      <c r="M103" s="19">
        <f t="shared" si="23"/>
        <v>43441971.710000217</v>
      </c>
      <c r="N103" s="28"/>
      <c r="O103" s="28"/>
      <c r="P103" s="28"/>
      <c r="Q103" s="28"/>
      <c r="R103" s="56"/>
    </row>
    <row r="104" spans="1:18" x14ac:dyDescent="0.25">
      <c r="A104" s="24" t="s">
        <v>103</v>
      </c>
      <c r="B104" s="21">
        <v>52446505.109999701</v>
      </c>
      <c r="C104" s="21">
        <v>53767546.659999982</v>
      </c>
      <c r="D104" s="21">
        <v>53972565.310000174</v>
      </c>
      <c r="E104" s="21">
        <v>54836364.369999833</v>
      </c>
      <c r="F104" s="21">
        <v>55637719.110000238</v>
      </c>
      <c r="G104" s="21">
        <v>56084005.500000156</v>
      </c>
      <c r="H104" s="21">
        <v>56862262.209999837</v>
      </c>
      <c r="I104" s="21">
        <v>57875108.380000472</v>
      </c>
      <c r="J104" s="21">
        <v>58890583.319999538</v>
      </c>
      <c r="K104" s="21">
        <v>57295986.420000285</v>
      </c>
      <c r="L104" s="21">
        <v>40128544.010000177</v>
      </c>
      <c r="M104" s="21">
        <v>37873868.990000218</v>
      </c>
      <c r="N104" s="28"/>
      <c r="O104" s="28"/>
      <c r="P104" s="28"/>
      <c r="Q104" s="28"/>
      <c r="R104" s="56"/>
    </row>
    <row r="105" spans="1:18" x14ac:dyDescent="0.25">
      <c r="A105" s="24" t="s">
        <v>104</v>
      </c>
      <c r="B105" s="21">
        <v>5657924.4699999988</v>
      </c>
      <c r="C105" s="21">
        <v>5643615.6100000031</v>
      </c>
      <c r="D105" s="21">
        <v>5724017.3500000015</v>
      </c>
      <c r="E105" s="21">
        <v>5687607.9299999969</v>
      </c>
      <c r="F105" s="21">
        <v>5798049.1100000013</v>
      </c>
      <c r="G105" s="21">
        <v>5868736.7800000068</v>
      </c>
      <c r="H105" s="21">
        <v>5907579.0199999958</v>
      </c>
      <c r="I105" s="21">
        <v>6058085.3899999969</v>
      </c>
      <c r="J105" s="21">
        <v>6313252.1300000008</v>
      </c>
      <c r="K105" s="21">
        <v>6248202.6399999987</v>
      </c>
      <c r="L105" s="21">
        <v>4889921.5200000014</v>
      </c>
      <c r="M105" s="21">
        <v>4803689.9900000012</v>
      </c>
      <c r="N105" s="28"/>
      <c r="O105" s="28"/>
      <c r="P105" s="28"/>
      <c r="Q105" s="28"/>
      <c r="R105" s="56"/>
    </row>
    <row r="106" spans="1:18" x14ac:dyDescent="0.25">
      <c r="A106" s="24" t="s">
        <v>105</v>
      </c>
      <c r="B106" s="21">
        <v>495161.80000000005</v>
      </c>
      <c r="C106" s="21">
        <v>520090.54999999993</v>
      </c>
      <c r="D106" s="21">
        <v>532420.35999999987</v>
      </c>
      <c r="E106" s="21">
        <v>517535.20999999996</v>
      </c>
      <c r="F106" s="21">
        <v>567449.85</v>
      </c>
      <c r="G106" s="21">
        <v>593252.25</v>
      </c>
      <c r="H106" s="21">
        <v>572569.13</v>
      </c>
      <c r="I106" s="21">
        <v>587539.88</v>
      </c>
      <c r="J106" s="21">
        <v>619826.35</v>
      </c>
      <c r="K106" s="21">
        <v>659321.47</v>
      </c>
      <c r="L106" s="21">
        <v>706897.45000000007</v>
      </c>
      <c r="M106" s="21">
        <v>764412.73</v>
      </c>
      <c r="N106" s="28"/>
      <c r="O106" s="28"/>
      <c r="P106" s="28"/>
      <c r="Q106" s="28"/>
      <c r="R106" s="56"/>
    </row>
    <row r="107" spans="1:18" x14ac:dyDescent="0.25">
      <c r="A107" s="27" t="s">
        <v>106</v>
      </c>
      <c r="B107" s="21">
        <v>19043964.739999998</v>
      </c>
      <c r="C107" s="21">
        <v>19022036.82</v>
      </c>
      <c r="D107" s="21">
        <v>19210072.169999998</v>
      </c>
      <c r="E107" s="21">
        <v>19452114.669999998</v>
      </c>
      <c r="F107" s="21">
        <v>19678030</v>
      </c>
      <c r="G107" s="21">
        <v>19933448</v>
      </c>
      <c r="H107" s="21">
        <v>20260898</v>
      </c>
      <c r="I107" s="21">
        <v>20615842.960000001</v>
      </c>
      <c r="J107" s="21">
        <v>20575155.390000001</v>
      </c>
      <c r="K107" s="21">
        <v>20828604</v>
      </c>
      <c r="L107" s="21">
        <v>21107401</v>
      </c>
      <c r="M107" s="21">
        <v>21347330.969999999</v>
      </c>
      <c r="N107" s="28"/>
      <c r="O107" s="28"/>
      <c r="P107" s="28"/>
      <c r="Q107" s="28"/>
      <c r="R107" s="56"/>
    </row>
    <row r="108" spans="1:18" x14ac:dyDescent="0.25">
      <c r="A108" s="27" t="s">
        <v>107</v>
      </c>
      <c r="B108" s="21">
        <v>24446683.980000004</v>
      </c>
      <c r="C108" s="21">
        <v>24641272.620000005</v>
      </c>
      <c r="D108" s="21">
        <v>24812756.510000002</v>
      </c>
      <c r="E108" s="21">
        <v>24986687.690000001</v>
      </c>
      <c r="F108" s="21">
        <v>25169540</v>
      </c>
      <c r="G108" s="21">
        <v>25245436</v>
      </c>
      <c r="H108" s="21">
        <v>25426984</v>
      </c>
      <c r="I108" s="21">
        <v>26032718.840000007</v>
      </c>
      <c r="J108" s="21">
        <v>25834566.110000003</v>
      </c>
      <c r="K108" s="21">
        <v>26017609</v>
      </c>
      <c r="L108" s="21">
        <v>26244473</v>
      </c>
      <c r="M108" s="21">
        <v>26406225.52</v>
      </c>
      <c r="N108" s="28"/>
      <c r="O108" s="28"/>
      <c r="P108" s="28"/>
      <c r="Q108" s="28"/>
      <c r="R108" s="56"/>
    </row>
    <row r="109" spans="1:18" x14ac:dyDescent="0.2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56"/>
    </row>
    <row r="110" spans="1:18" ht="15.75" x14ac:dyDescent="0.25">
      <c r="A110" s="79" t="s">
        <v>108</v>
      </c>
      <c r="B110" s="80">
        <f>+B111+B112+B113+B114</f>
        <v>39516</v>
      </c>
      <c r="C110" s="80">
        <f t="shared" ref="C110:M110" si="24">+C111+C112+C113+C114</f>
        <v>39531</v>
      </c>
      <c r="D110" s="80">
        <f t="shared" si="24"/>
        <v>39584</v>
      </c>
      <c r="E110" s="80">
        <f t="shared" si="24"/>
        <v>39504</v>
      </c>
      <c r="F110" s="80">
        <f t="shared" si="24"/>
        <v>31002</v>
      </c>
      <c r="G110" s="80">
        <f t="shared" si="24"/>
        <v>31169</v>
      </c>
      <c r="H110" s="80">
        <f t="shared" si="24"/>
        <v>30544</v>
      </c>
      <c r="I110" s="80">
        <f t="shared" si="24"/>
        <v>31330</v>
      </c>
      <c r="J110" s="80">
        <f t="shared" si="24"/>
        <v>32437</v>
      </c>
      <c r="K110" s="80">
        <f t="shared" si="24"/>
        <v>31630</v>
      </c>
      <c r="L110" s="80">
        <f t="shared" si="24"/>
        <v>32312</v>
      </c>
      <c r="M110" s="80">
        <f t="shared" si="24"/>
        <v>33928</v>
      </c>
      <c r="N110" s="28"/>
      <c r="O110" s="28"/>
      <c r="P110" s="28"/>
      <c r="Q110" s="28"/>
      <c r="R110" s="56"/>
    </row>
    <row r="111" spans="1:18" x14ac:dyDescent="0.25">
      <c r="A111" s="27" t="s">
        <v>109</v>
      </c>
      <c r="B111" s="64">
        <v>32345</v>
      </c>
      <c r="C111" s="64">
        <v>32302</v>
      </c>
      <c r="D111" s="64">
        <v>32441</v>
      </c>
      <c r="E111" s="64">
        <v>32282</v>
      </c>
      <c r="F111" s="64">
        <v>23891</v>
      </c>
      <c r="G111" s="64">
        <v>24134</v>
      </c>
      <c r="H111" s="64">
        <v>23436</v>
      </c>
      <c r="I111" s="64">
        <v>24192</v>
      </c>
      <c r="J111" s="64">
        <v>25292</v>
      </c>
      <c r="K111" s="64">
        <v>24913</v>
      </c>
      <c r="L111" s="64">
        <v>27465</v>
      </c>
      <c r="M111" s="64">
        <v>29430</v>
      </c>
      <c r="N111" s="72"/>
      <c r="O111" s="72"/>
      <c r="P111" s="72"/>
      <c r="Q111" s="28"/>
      <c r="R111" s="56"/>
    </row>
    <row r="112" spans="1:18" x14ac:dyDescent="0.25">
      <c r="A112" s="27" t="s">
        <v>110</v>
      </c>
      <c r="B112" s="64">
        <v>1964</v>
      </c>
      <c r="C112" s="64">
        <v>2024</v>
      </c>
      <c r="D112" s="64">
        <v>2023</v>
      </c>
      <c r="E112" s="64">
        <v>2125</v>
      </c>
      <c r="F112" s="64">
        <v>1807</v>
      </c>
      <c r="G112" s="64">
        <v>1761</v>
      </c>
      <c r="H112" s="64">
        <v>1818</v>
      </c>
      <c r="I112" s="64">
        <v>1845</v>
      </c>
      <c r="J112" s="64">
        <v>1828</v>
      </c>
      <c r="K112" s="64">
        <v>1691</v>
      </c>
      <c r="L112" s="64">
        <v>1542</v>
      </c>
      <c r="M112" s="64">
        <v>1485</v>
      </c>
      <c r="N112" s="72"/>
      <c r="O112" s="72"/>
      <c r="P112" s="72"/>
      <c r="Q112" s="28"/>
      <c r="R112" s="56"/>
    </row>
    <row r="113" spans="1:18" x14ac:dyDescent="0.25">
      <c r="A113" s="27" t="s">
        <v>111</v>
      </c>
      <c r="B113" s="64">
        <v>1267</v>
      </c>
      <c r="C113" s="64">
        <v>1260</v>
      </c>
      <c r="D113" s="64">
        <v>1197</v>
      </c>
      <c r="E113" s="64">
        <v>1216</v>
      </c>
      <c r="F113" s="64">
        <v>1091</v>
      </c>
      <c r="G113" s="64">
        <v>1075</v>
      </c>
      <c r="H113" s="64">
        <v>1104</v>
      </c>
      <c r="I113" s="64">
        <v>1106</v>
      </c>
      <c r="J113" s="64">
        <v>1133</v>
      </c>
      <c r="K113" s="64">
        <v>1061</v>
      </c>
      <c r="L113" s="64">
        <v>633</v>
      </c>
      <c r="M113" s="64">
        <v>583</v>
      </c>
      <c r="N113" s="72"/>
      <c r="O113" s="72"/>
      <c r="P113" s="72"/>
      <c r="Q113" s="28"/>
      <c r="R113" s="56"/>
    </row>
    <row r="114" spans="1:18" x14ac:dyDescent="0.25">
      <c r="A114" s="27" t="s">
        <v>112</v>
      </c>
      <c r="B114" s="64">
        <v>3940</v>
      </c>
      <c r="C114" s="64">
        <v>3945</v>
      </c>
      <c r="D114" s="64">
        <v>3923</v>
      </c>
      <c r="E114" s="64">
        <v>3881</v>
      </c>
      <c r="F114" s="64">
        <v>4213</v>
      </c>
      <c r="G114" s="64">
        <v>4199</v>
      </c>
      <c r="H114" s="64">
        <v>4186</v>
      </c>
      <c r="I114" s="64">
        <v>4187</v>
      </c>
      <c r="J114" s="64">
        <v>4184</v>
      </c>
      <c r="K114" s="64">
        <v>3965</v>
      </c>
      <c r="L114" s="64">
        <v>2672</v>
      </c>
      <c r="M114" s="64">
        <v>2430</v>
      </c>
      <c r="N114" s="72"/>
      <c r="O114" s="72"/>
      <c r="P114" s="72"/>
      <c r="Q114" s="28"/>
      <c r="R114" s="56"/>
    </row>
    <row r="115" spans="1:18" x14ac:dyDescent="0.2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56"/>
    </row>
    <row r="116" spans="1:18" ht="15.75" x14ac:dyDescent="0.25">
      <c r="A116" s="79" t="s">
        <v>113</v>
      </c>
      <c r="B116" s="80">
        <f>SUM(B117:B120)</f>
        <v>35012</v>
      </c>
      <c r="C116" s="80">
        <f t="shared" ref="C116:M116" si="25">SUM(C117:C120)</f>
        <v>35760</v>
      </c>
      <c r="D116" s="80">
        <f t="shared" si="25"/>
        <v>36098</v>
      </c>
      <c r="E116" s="80">
        <f t="shared" si="25"/>
        <v>34321</v>
      </c>
      <c r="F116" s="80">
        <f t="shared" si="25"/>
        <v>35493</v>
      </c>
      <c r="G116" s="80">
        <f t="shared" si="25"/>
        <v>34877</v>
      </c>
      <c r="H116" s="80">
        <f t="shared" si="25"/>
        <v>33963</v>
      </c>
      <c r="I116" s="80">
        <f t="shared" si="25"/>
        <v>34378</v>
      </c>
      <c r="J116" s="80">
        <f t="shared" si="25"/>
        <v>34323</v>
      </c>
      <c r="K116" s="80">
        <f t="shared" si="25"/>
        <v>35620</v>
      </c>
      <c r="L116" s="80">
        <f t="shared" si="25"/>
        <v>33832</v>
      </c>
      <c r="M116" s="80">
        <f t="shared" si="25"/>
        <v>36722</v>
      </c>
      <c r="N116" s="28"/>
      <c r="O116" s="28"/>
      <c r="P116" s="28"/>
      <c r="Q116" s="28"/>
      <c r="R116" s="56"/>
    </row>
    <row r="117" spans="1:18" x14ac:dyDescent="0.25">
      <c r="A117" s="27" t="s">
        <v>114</v>
      </c>
      <c r="B117" s="21">
        <v>4738</v>
      </c>
      <c r="C117" s="21">
        <v>4738</v>
      </c>
      <c r="D117" s="21">
        <v>4761</v>
      </c>
      <c r="E117" s="21">
        <v>4410</v>
      </c>
      <c r="F117" s="21">
        <v>4528</v>
      </c>
      <c r="G117" s="21">
        <v>4521</v>
      </c>
      <c r="H117" s="21">
        <v>4390</v>
      </c>
      <c r="I117" s="21">
        <v>4399</v>
      </c>
      <c r="J117" s="21">
        <v>4498</v>
      </c>
      <c r="K117" s="21">
        <v>4721</v>
      </c>
      <c r="L117" s="21">
        <v>4702</v>
      </c>
      <c r="M117" s="21">
        <v>4665</v>
      </c>
      <c r="N117" s="28"/>
      <c r="O117" s="28"/>
      <c r="P117" s="28"/>
      <c r="Q117" s="28"/>
      <c r="R117" s="56"/>
    </row>
    <row r="118" spans="1:18" x14ac:dyDescent="0.25">
      <c r="A118" s="27" t="s">
        <v>115</v>
      </c>
      <c r="B118" s="21">
        <v>16839</v>
      </c>
      <c r="C118" s="21">
        <v>18725</v>
      </c>
      <c r="D118" s="21">
        <f>18765+31</f>
        <v>18796</v>
      </c>
      <c r="E118" s="21">
        <f>16057+31</f>
        <v>16088</v>
      </c>
      <c r="F118" s="21">
        <v>17662</v>
      </c>
      <c r="G118" s="21">
        <v>16469</v>
      </c>
      <c r="H118" s="21">
        <v>15383</v>
      </c>
      <c r="I118" s="21">
        <v>16114</v>
      </c>
      <c r="J118" s="21">
        <v>15555</v>
      </c>
      <c r="K118" s="21">
        <v>17628</v>
      </c>
      <c r="L118" s="21">
        <v>18379</v>
      </c>
      <c r="M118" s="21">
        <v>19995</v>
      </c>
      <c r="N118" s="28"/>
      <c r="O118" s="28"/>
      <c r="P118" s="28"/>
      <c r="Q118" s="28"/>
      <c r="R118" s="56"/>
    </row>
    <row r="119" spans="1:18" x14ac:dyDescent="0.25">
      <c r="A119" s="27" t="s">
        <v>116</v>
      </c>
      <c r="B119" s="21">
        <v>7361</v>
      </c>
      <c r="C119" s="21">
        <v>6931</v>
      </c>
      <c r="D119" s="21">
        <v>7083</v>
      </c>
      <c r="E119" s="21">
        <v>7477</v>
      </c>
      <c r="F119" s="21">
        <v>7561</v>
      </c>
      <c r="G119" s="21">
        <v>7660</v>
      </c>
      <c r="H119" s="21">
        <v>7742</v>
      </c>
      <c r="I119" s="21">
        <v>7626</v>
      </c>
      <c r="J119" s="21">
        <v>7728</v>
      </c>
      <c r="K119" s="21">
        <v>7435</v>
      </c>
      <c r="L119" s="21">
        <v>7249</v>
      </c>
      <c r="M119" s="21">
        <v>6907</v>
      </c>
      <c r="N119" s="28"/>
      <c r="O119" s="28"/>
      <c r="P119" s="28"/>
      <c r="Q119" s="28"/>
      <c r="R119" s="56"/>
    </row>
    <row r="120" spans="1:18" x14ac:dyDescent="0.25">
      <c r="A120" s="27" t="s">
        <v>117</v>
      </c>
      <c r="B120" s="21">
        <v>6074</v>
      </c>
      <c r="C120" s="21">
        <f>3249+2117</f>
        <v>5366</v>
      </c>
      <c r="D120" s="21">
        <f>3341+2117</f>
        <v>5458</v>
      </c>
      <c r="E120" s="21">
        <f>4231+2115</f>
        <v>6346</v>
      </c>
      <c r="F120" s="21">
        <v>5742</v>
      </c>
      <c r="G120" s="21">
        <v>6227</v>
      </c>
      <c r="H120" s="21">
        <v>6448</v>
      </c>
      <c r="I120" s="21">
        <v>6239</v>
      </c>
      <c r="J120" s="21">
        <v>6542</v>
      </c>
      <c r="K120" s="21">
        <v>5836</v>
      </c>
      <c r="L120" s="21">
        <v>3502</v>
      </c>
      <c r="M120" s="21">
        <v>5155</v>
      </c>
      <c r="N120" s="28"/>
      <c r="O120" s="28"/>
      <c r="P120" s="28"/>
      <c r="Q120" s="28"/>
      <c r="R120" s="56"/>
    </row>
    <row r="121" spans="1:18" x14ac:dyDescent="0.25">
      <c r="A121" s="65"/>
      <c r="B121" s="72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56"/>
    </row>
    <row r="122" spans="1:18" x14ac:dyDescent="0.25">
      <c r="A122" s="81" t="s">
        <v>118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28"/>
      <c r="O122" s="28"/>
      <c r="P122" s="28"/>
      <c r="Q122" s="28"/>
      <c r="R122" s="56"/>
    </row>
    <row r="123" spans="1:18" x14ac:dyDescent="0.25">
      <c r="A123" s="27" t="s">
        <v>119</v>
      </c>
      <c r="B123" s="21">
        <v>204.17</v>
      </c>
      <c r="C123" s="21">
        <v>206.72212499999998</v>
      </c>
      <c r="D123" s="21">
        <v>209.30615156249996</v>
      </c>
      <c r="E123" s="21">
        <v>211.92247845703122</v>
      </c>
      <c r="F123" s="21">
        <v>214.57150943774411</v>
      </c>
      <c r="G123" s="21">
        <v>217.25365330571591</v>
      </c>
      <c r="H123" s="21">
        <v>219.96932397203736</v>
      </c>
      <c r="I123" s="21">
        <v>222.71894052168781</v>
      </c>
      <c r="J123" s="21">
        <v>225.50292727820892</v>
      </c>
      <c r="K123" s="21">
        <v>228.32171386918654</v>
      </c>
      <c r="L123" s="21">
        <v>231.17573529255137</v>
      </c>
      <c r="M123" s="21">
        <v>234.06543198370827</v>
      </c>
      <c r="N123" s="28"/>
      <c r="O123" s="28"/>
      <c r="P123" s="28"/>
      <c r="Q123" s="28"/>
      <c r="R123" s="56"/>
    </row>
    <row r="124" spans="1:18" x14ac:dyDescent="0.25">
      <c r="A124" s="27" t="s">
        <v>120</v>
      </c>
      <c r="B124" s="21">
        <v>309.68</v>
      </c>
      <c r="C124" s="21">
        <v>313.55099999999999</v>
      </c>
      <c r="D124" s="21">
        <v>317.47038750000002</v>
      </c>
      <c r="E124" s="21">
        <v>321.43876734374999</v>
      </c>
      <c r="F124" s="21">
        <v>325.45675193554689</v>
      </c>
      <c r="G124" s="21">
        <v>329.52496133474125</v>
      </c>
      <c r="H124" s="21">
        <v>333.64402335142552</v>
      </c>
      <c r="I124" s="21">
        <v>337.81457364331834</v>
      </c>
      <c r="J124" s="21">
        <v>342.03725581385982</v>
      </c>
      <c r="K124" s="21">
        <v>346.31272151153308</v>
      </c>
      <c r="L124" s="21">
        <v>350.64163053042722</v>
      </c>
      <c r="M124" s="21">
        <v>355.02465091205755</v>
      </c>
      <c r="N124" s="28"/>
      <c r="O124" s="28"/>
      <c r="P124" s="28"/>
      <c r="Q124" s="28"/>
      <c r="R124" s="56"/>
    </row>
    <row r="125" spans="1:18" x14ac:dyDescent="0.25">
      <c r="A125" s="27" t="s">
        <v>121</v>
      </c>
      <c r="B125" s="21">
        <v>455.31</v>
      </c>
      <c r="C125" s="21">
        <v>461.001375</v>
      </c>
      <c r="D125" s="21">
        <v>466.76389218750001</v>
      </c>
      <c r="E125" s="21">
        <v>472.59844083984376</v>
      </c>
      <c r="F125" s="21">
        <v>478.50592135034179</v>
      </c>
      <c r="G125" s="21">
        <v>484.48724536722108</v>
      </c>
      <c r="H125" s="21">
        <v>490.54333593431136</v>
      </c>
      <c r="I125" s="21">
        <v>496.67512763349026</v>
      </c>
      <c r="J125" s="21">
        <v>502.88356672890887</v>
      </c>
      <c r="K125" s="21">
        <v>509.16961131302025</v>
      </c>
      <c r="L125" s="21">
        <v>515.53423145443298</v>
      </c>
      <c r="M125" s="21">
        <v>521.97840934761336</v>
      </c>
      <c r="N125" s="28"/>
      <c r="O125" s="28"/>
      <c r="P125" s="28"/>
      <c r="Q125" s="28"/>
      <c r="R125" s="56"/>
    </row>
    <row r="126" spans="1:18" x14ac:dyDescent="0.25">
      <c r="A126" s="65"/>
      <c r="B126" s="72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56"/>
    </row>
    <row r="127" spans="1:18" ht="15.75" x14ac:dyDescent="0.25">
      <c r="A127" s="83" t="s">
        <v>122</v>
      </c>
      <c r="B127" s="84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61"/>
      <c r="O127" s="61"/>
      <c r="P127" s="61"/>
      <c r="Q127" s="61"/>
      <c r="R127" s="62"/>
    </row>
    <row r="128" spans="1:18" x14ac:dyDescent="0.25">
      <c r="A128" s="65" t="s">
        <v>122</v>
      </c>
      <c r="B128" s="86">
        <f>+B130/B129</f>
        <v>0.98999999999999988</v>
      </c>
      <c r="C128" s="86">
        <f t="shared" ref="C128:M128" si="26">+C130/C129</f>
        <v>0.98999999999999988</v>
      </c>
      <c r="D128" s="86">
        <f t="shared" si="26"/>
        <v>0.98999999999999988</v>
      </c>
      <c r="E128" s="86">
        <f t="shared" si="26"/>
        <v>0.98999999999999988</v>
      </c>
      <c r="F128" s="86">
        <f t="shared" si="26"/>
        <v>0.98999999999999988</v>
      </c>
      <c r="G128" s="86">
        <f t="shared" si="26"/>
        <v>0.98999999999999988</v>
      </c>
      <c r="H128" s="86">
        <f t="shared" si="26"/>
        <v>0.99000377713166376</v>
      </c>
      <c r="I128" s="86">
        <f>+I130/I129</f>
        <v>0.99000377713166376</v>
      </c>
      <c r="J128" s="86">
        <f t="shared" si="26"/>
        <v>0.98999999999999988</v>
      </c>
      <c r="K128" s="86">
        <f t="shared" si="26"/>
        <v>0.98999999999999988</v>
      </c>
      <c r="L128" s="86">
        <f t="shared" si="26"/>
        <v>0.99</v>
      </c>
      <c r="M128" s="86">
        <f t="shared" si="26"/>
        <v>0.99</v>
      </c>
      <c r="N128" s="87"/>
      <c r="O128" s="87"/>
      <c r="P128" s="87"/>
      <c r="Q128" s="87"/>
      <c r="R128" s="87"/>
    </row>
    <row r="129" spans="1:18" x14ac:dyDescent="0.25">
      <c r="A129" s="65" t="s">
        <v>123</v>
      </c>
      <c r="B129" s="64">
        <v>113843</v>
      </c>
      <c r="C129" s="64">
        <v>113843</v>
      </c>
      <c r="D129" s="64">
        <v>113843</v>
      </c>
      <c r="E129" s="64">
        <v>113843</v>
      </c>
      <c r="F129" s="64">
        <v>113843</v>
      </c>
      <c r="G129" s="64">
        <v>113843</v>
      </c>
      <c r="H129" s="64">
        <v>113843</v>
      </c>
      <c r="I129" s="64">
        <v>113843</v>
      </c>
      <c r="J129" s="64">
        <v>113843</v>
      </c>
      <c r="K129" s="64">
        <v>113843</v>
      </c>
      <c r="L129" s="64">
        <v>113844</v>
      </c>
      <c r="M129" s="64">
        <v>113845</v>
      </c>
      <c r="N129" s="72"/>
      <c r="O129" s="72"/>
      <c r="P129" s="28"/>
      <c r="Q129" s="28"/>
      <c r="R129" s="56"/>
    </row>
    <row r="130" spans="1:18" x14ac:dyDescent="0.25">
      <c r="A130" s="65" t="s">
        <v>124</v>
      </c>
      <c r="B130" s="64">
        <v>112704.56999999999</v>
      </c>
      <c r="C130" s="64">
        <v>112704.56999999999</v>
      </c>
      <c r="D130" s="64">
        <v>112704.56999999999</v>
      </c>
      <c r="E130" s="64">
        <v>112704.56999999999</v>
      </c>
      <c r="F130" s="64">
        <v>112704.56999999999</v>
      </c>
      <c r="G130" s="64">
        <v>112704.56999999999</v>
      </c>
      <c r="H130" s="64">
        <v>112705</v>
      </c>
      <c r="I130" s="64">
        <v>112705</v>
      </c>
      <c r="J130" s="64">
        <f>J129*99%</f>
        <v>112704.56999999999</v>
      </c>
      <c r="K130" s="64">
        <f>K129*99%</f>
        <v>112704.56999999999</v>
      </c>
      <c r="L130" s="64">
        <f>L129*99%</f>
        <v>112705.56</v>
      </c>
      <c r="M130" s="64">
        <f>M129*99%</f>
        <v>112706.55</v>
      </c>
      <c r="N130" s="72"/>
      <c r="O130" s="72"/>
      <c r="P130" s="28"/>
      <c r="Q130" s="28"/>
      <c r="R130" s="56"/>
    </row>
    <row r="131" spans="1:18" x14ac:dyDescent="0.25">
      <c r="A131" s="65" t="s">
        <v>125</v>
      </c>
      <c r="B131" s="64">
        <v>111566.14</v>
      </c>
      <c r="C131" s="64">
        <v>111566.14</v>
      </c>
      <c r="D131" s="64">
        <v>111566.14</v>
      </c>
      <c r="E131" s="64">
        <v>111566.14</v>
      </c>
      <c r="F131" s="64">
        <v>111566.14</v>
      </c>
      <c r="G131" s="64">
        <v>111566.14</v>
      </c>
      <c r="H131" s="64">
        <v>111566</v>
      </c>
      <c r="I131" s="64">
        <v>111566</v>
      </c>
      <c r="J131" s="64">
        <f>J129*98%</f>
        <v>111566.14</v>
      </c>
      <c r="K131" s="64">
        <v>111566</v>
      </c>
      <c r="L131" s="64">
        <v>111566</v>
      </c>
      <c r="M131" s="64">
        <v>111566</v>
      </c>
      <c r="N131" s="72"/>
      <c r="O131" s="72"/>
      <c r="P131" s="28"/>
      <c r="Q131" s="28"/>
      <c r="R131" s="56"/>
    </row>
    <row r="132" spans="1:18" x14ac:dyDescent="0.25">
      <c r="A132" s="65" t="s">
        <v>126</v>
      </c>
      <c r="B132" s="64">
        <v>31353</v>
      </c>
      <c r="C132" s="64">
        <v>29146</v>
      </c>
      <c r="D132" s="64">
        <v>30797</v>
      </c>
      <c r="E132" s="64">
        <v>29223</v>
      </c>
      <c r="F132" s="64">
        <v>30489</v>
      </c>
      <c r="G132" s="64">
        <v>29868</v>
      </c>
      <c r="H132" s="64">
        <v>30317</v>
      </c>
      <c r="I132" s="64">
        <v>29738</v>
      </c>
      <c r="J132" s="64">
        <v>29602</v>
      </c>
      <c r="K132" s="64">
        <v>30909</v>
      </c>
      <c r="L132" s="64">
        <v>31029</v>
      </c>
      <c r="M132" s="64">
        <v>30527</v>
      </c>
      <c r="N132" s="72"/>
      <c r="O132" s="72"/>
      <c r="P132" s="28"/>
      <c r="Q132" s="28"/>
      <c r="R132" s="56"/>
    </row>
    <row r="133" spans="1:18" x14ac:dyDescent="0.25">
      <c r="A133" s="65" t="s">
        <v>127</v>
      </c>
      <c r="B133" s="64">
        <v>9714</v>
      </c>
      <c r="C133" s="64">
        <v>10227</v>
      </c>
      <c r="D133" s="64">
        <v>11228</v>
      </c>
      <c r="E133" s="64">
        <v>11456</v>
      </c>
      <c r="F133" s="64">
        <v>11570</v>
      </c>
      <c r="G133" s="64">
        <v>11658</v>
      </c>
      <c r="H133" s="64">
        <v>11720</v>
      </c>
      <c r="I133" s="64">
        <v>11754</v>
      </c>
      <c r="J133" s="64">
        <v>11793</v>
      </c>
      <c r="K133" s="64">
        <v>11847</v>
      </c>
      <c r="L133" s="64">
        <v>11857</v>
      </c>
      <c r="M133" s="64">
        <v>11904</v>
      </c>
      <c r="N133" s="72"/>
      <c r="O133" s="72"/>
      <c r="P133" s="28"/>
      <c r="Q133" s="28"/>
      <c r="R133" s="56"/>
    </row>
    <row r="134" spans="1:18" x14ac:dyDescent="0.25">
      <c r="A134" s="65" t="s">
        <v>128</v>
      </c>
      <c r="B134" s="88">
        <v>0.5</v>
      </c>
      <c r="C134" s="88">
        <v>0.5</v>
      </c>
      <c r="D134" s="88">
        <v>0.5</v>
      </c>
      <c r="E134" s="88">
        <v>0.5</v>
      </c>
      <c r="F134" s="88">
        <v>0.5</v>
      </c>
      <c r="G134" s="88">
        <v>0.5</v>
      </c>
      <c r="H134" s="88">
        <v>0.5</v>
      </c>
      <c r="I134" s="88">
        <v>0.5</v>
      </c>
      <c r="J134" s="88">
        <v>0.5</v>
      </c>
      <c r="K134" s="88">
        <v>0.5</v>
      </c>
      <c r="L134" s="88">
        <v>0.5</v>
      </c>
      <c r="M134" s="88">
        <v>0.5</v>
      </c>
      <c r="N134" s="72"/>
      <c r="O134" s="72"/>
      <c r="P134" s="28"/>
      <c r="Q134" s="28"/>
      <c r="R134" s="56"/>
    </row>
    <row r="135" spans="1:18" x14ac:dyDescent="0.25">
      <c r="A135" s="65" t="s">
        <v>129</v>
      </c>
      <c r="B135" s="88">
        <v>2</v>
      </c>
      <c r="C135" s="88">
        <v>2</v>
      </c>
      <c r="D135" s="88">
        <v>2</v>
      </c>
      <c r="E135" s="88">
        <v>2</v>
      </c>
      <c r="F135" s="88">
        <v>2</v>
      </c>
      <c r="G135" s="88">
        <v>2</v>
      </c>
      <c r="H135" s="88">
        <v>2</v>
      </c>
      <c r="I135" s="88">
        <v>2</v>
      </c>
      <c r="J135" s="88">
        <v>2</v>
      </c>
      <c r="K135" s="88">
        <v>2</v>
      </c>
      <c r="L135" s="88">
        <v>2</v>
      </c>
      <c r="M135" s="88">
        <v>2</v>
      </c>
      <c r="N135" s="72"/>
      <c r="O135" s="72"/>
      <c r="P135" s="28"/>
      <c r="Q135" s="28"/>
      <c r="R135" s="56"/>
    </row>
    <row r="136" spans="1:18" x14ac:dyDescent="0.25">
      <c r="A136" s="65" t="s">
        <v>130</v>
      </c>
      <c r="B136" s="88">
        <v>3.5</v>
      </c>
      <c r="C136" s="88">
        <v>3.5</v>
      </c>
      <c r="D136" s="88">
        <v>3.5</v>
      </c>
      <c r="E136" s="88">
        <v>3.5</v>
      </c>
      <c r="F136" s="88">
        <v>3.5</v>
      </c>
      <c r="G136" s="88">
        <v>3.5</v>
      </c>
      <c r="H136" s="88">
        <v>3.5</v>
      </c>
      <c r="I136" s="88">
        <v>3.5</v>
      </c>
      <c r="J136" s="88">
        <v>3.5</v>
      </c>
      <c r="K136" s="88">
        <v>3.5</v>
      </c>
      <c r="L136" s="88">
        <v>3.5</v>
      </c>
      <c r="M136" s="88">
        <v>3.5</v>
      </c>
      <c r="N136" s="72"/>
      <c r="O136" s="72"/>
      <c r="P136" s="28"/>
      <c r="Q136" s="28"/>
      <c r="R136" s="56"/>
    </row>
    <row r="137" spans="1:18" x14ac:dyDescent="0.25">
      <c r="A137" s="65" t="s">
        <v>131</v>
      </c>
      <c r="B137" s="89">
        <v>0.378</v>
      </c>
      <c r="C137" s="89">
        <v>0.217</v>
      </c>
      <c r="D137" s="89">
        <v>4.0599999999999997E-2</v>
      </c>
      <c r="E137" s="89">
        <v>0.376</v>
      </c>
      <c r="F137" s="89">
        <v>0.39200000000000002</v>
      </c>
      <c r="G137" s="21">
        <v>0.39200000000000002</v>
      </c>
      <c r="H137" s="89">
        <v>7.6999999999999999E-2</v>
      </c>
      <c r="I137" s="21">
        <v>0.26400000000000001</v>
      </c>
      <c r="J137" s="21">
        <v>0.11749999999999999</v>
      </c>
      <c r="K137" s="21">
        <v>0.317</v>
      </c>
      <c r="L137" s="21">
        <v>0.50600000000000001</v>
      </c>
      <c r="M137" s="21">
        <v>0.35699999999999998</v>
      </c>
      <c r="N137" s="72"/>
      <c r="O137" s="72"/>
      <c r="P137" s="28"/>
      <c r="Q137" s="28"/>
      <c r="R137" s="56"/>
    </row>
    <row r="138" spans="1:18" x14ac:dyDescent="0.25">
      <c r="A138" s="65" t="s">
        <v>132</v>
      </c>
      <c r="B138" s="21">
        <v>346.8</v>
      </c>
      <c r="C138" s="21">
        <v>346.8</v>
      </c>
      <c r="D138" s="21">
        <v>346.8</v>
      </c>
      <c r="E138" s="21">
        <v>346.8</v>
      </c>
      <c r="F138" s="21">
        <v>346.8</v>
      </c>
      <c r="G138" s="21">
        <v>346.8</v>
      </c>
      <c r="H138" s="21">
        <v>346.8</v>
      </c>
      <c r="I138" s="21">
        <v>346.8</v>
      </c>
      <c r="J138" s="21">
        <v>346.8</v>
      </c>
      <c r="K138" s="21">
        <v>346.8</v>
      </c>
      <c r="L138" s="21">
        <v>346.8</v>
      </c>
      <c r="M138" s="21">
        <v>346.8</v>
      </c>
      <c r="N138" s="72"/>
      <c r="O138" s="72"/>
      <c r="P138" s="28"/>
      <c r="Q138" s="28"/>
      <c r="R138" s="56"/>
    </row>
    <row r="139" spans="1:18" x14ac:dyDescent="0.25">
      <c r="A139" s="65" t="s">
        <v>133</v>
      </c>
      <c r="B139" s="64">
        <v>36454</v>
      </c>
      <c r="C139" s="64">
        <v>36499</v>
      </c>
      <c r="D139" s="64">
        <v>36570</v>
      </c>
      <c r="E139" s="64">
        <v>36584</v>
      </c>
      <c r="F139" s="64">
        <v>36632</v>
      </c>
      <c r="G139" s="64">
        <v>36665</v>
      </c>
      <c r="H139" s="64">
        <v>36719</v>
      </c>
      <c r="I139" s="64">
        <v>36723</v>
      </c>
      <c r="J139" s="64">
        <v>36767</v>
      </c>
      <c r="K139" s="64">
        <v>36798</v>
      </c>
      <c r="L139" s="64">
        <v>36811</v>
      </c>
      <c r="M139" s="64">
        <v>36847</v>
      </c>
      <c r="N139" s="72"/>
      <c r="O139" s="72"/>
      <c r="P139" s="28"/>
      <c r="Q139" s="28"/>
      <c r="R139" s="56"/>
    </row>
    <row r="140" spans="1:18" x14ac:dyDescent="0.25">
      <c r="A140" s="65" t="s">
        <v>134</v>
      </c>
      <c r="B140" s="64">
        <v>418</v>
      </c>
      <c r="C140" s="64">
        <v>420</v>
      </c>
      <c r="D140" s="64">
        <v>417</v>
      </c>
      <c r="E140" s="64">
        <v>416</v>
      </c>
      <c r="F140" s="64">
        <v>411</v>
      </c>
      <c r="G140" s="64">
        <v>413</v>
      </c>
      <c r="H140" s="64">
        <v>410</v>
      </c>
      <c r="I140" s="64">
        <v>410</v>
      </c>
      <c r="J140" s="64">
        <v>414</v>
      </c>
      <c r="K140" s="64">
        <v>418</v>
      </c>
      <c r="L140" s="64">
        <v>418</v>
      </c>
      <c r="M140" s="64">
        <v>414</v>
      </c>
      <c r="N140" s="72"/>
      <c r="O140" s="72"/>
      <c r="P140" s="28"/>
      <c r="Q140" s="28"/>
      <c r="R140" s="56"/>
    </row>
    <row r="141" spans="1:18" x14ac:dyDescent="0.25">
      <c r="A141" s="65" t="s">
        <v>135</v>
      </c>
      <c r="B141" s="64">
        <v>71</v>
      </c>
      <c r="C141" s="64">
        <v>47</v>
      </c>
      <c r="D141" s="64">
        <v>61</v>
      </c>
      <c r="E141" s="64">
        <v>25</v>
      </c>
      <c r="F141" s="64">
        <v>41</v>
      </c>
      <c r="G141" s="64">
        <v>29</v>
      </c>
      <c r="H141" s="64">
        <v>39</v>
      </c>
      <c r="I141" s="64">
        <v>1</v>
      </c>
      <c r="J141" s="64">
        <v>74</v>
      </c>
      <c r="K141" s="64">
        <v>33</v>
      </c>
      <c r="L141" s="64">
        <v>14</v>
      </c>
      <c r="M141" s="64">
        <v>143</v>
      </c>
      <c r="N141" s="72"/>
      <c r="O141" s="72"/>
      <c r="P141" s="28"/>
      <c r="Q141" s="28"/>
      <c r="R141" s="56"/>
    </row>
    <row r="142" spans="1:18" x14ac:dyDescent="0.25">
      <c r="A142" s="65" t="s">
        <v>136</v>
      </c>
      <c r="B142" s="64">
        <v>110</v>
      </c>
      <c r="C142" s="64">
        <v>111</v>
      </c>
      <c r="D142" s="64">
        <v>84</v>
      </c>
      <c r="E142" s="64">
        <v>119</v>
      </c>
      <c r="F142" s="64">
        <v>153</v>
      </c>
      <c r="G142" s="64">
        <v>49</v>
      </c>
      <c r="H142" s="64">
        <v>118</v>
      </c>
      <c r="I142" s="64">
        <v>6</v>
      </c>
      <c r="J142" s="64">
        <v>111</v>
      </c>
      <c r="K142" s="64">
        <v>158</v>
      </c>
      <c r="L142" s="64">
        <v>26</v>
      </c>
      <c r="M142" s="64">
        <v>48</v>
      </c>
      <c r="N142" s="72"/>
      <c r="O142" s="72"/>
      <c r="P142" s="28"/>
      <c r="Q142" s="28"/>
      <c r="R142" s="56"/>
    </row>
    <row r="143" spans="1:18" x14ac:dyDescent="0.25">
      <c r="A143" s="65" t="s">
        <v>137</v>
      </c>
      <c r="B143" s="64">
        <v>5</v>
      </c>
      <c r="C143" s="64">
        <v>5</v>
      </c>
      <c r="D143" s="64">
        <v>5</v>
      </c>
      <c r="E143" s="64">
        <v>5</v>
      </c>
      <c r="F143" s="64">
        <v>5</v>
      </c>
      <c r="G143" s="64">
        <v>5</v>
      </c>
      <c r="H143" s="64">
        <v>5</v>
      </c>
      <c r="I143" s="64">
        <v>5</v>
      </c>
      <c r="J143" s="64">
        <v>15</v>
      </c>
      <c r="K143" s="64">
        <v>15</v>
      </c>
      <c r="L143" s="64">
        <v>15</v>
      </c>
      <c r="M143" s="64">
        <v>15</v>
      </c>
      <c r="N143" s="72"/>
      <c r="O143" s="72"/>
      <c r="P143" s="28"/>
      <c r="Q143" s="28"/>
      <c r="R143" s="56"/>
    </row>
    <row r="144" spans="1:18" x14ac:dyDescent="0.25">
      <c r="A144" s="65" t="s">
        <v>138</v>
      </c>
      <c r="B144" s="64">
        <v>18</v>
      </c>
      <c r="C144" s="64">
        <v>18</v>
      </c>
      <c r="D144" s="64">
        <v>18</v>
      </c>
      <c r="E144" s="64">
        <v>18</v>
      </c>
      <c r="F144" s="64">
        <v>18</v>
      </c>
      <c r="G144" s="64">
        <v>18</v>
      </c>
      <c r="H144" s="64">
        <v>18</v>
      </c>
      <c r="I144" s="64">
        <v>18</v>
      </c>
      <c r="J144" s="64">
        <v>8</v>
      </c>
      <c r="K144" s="64">
        <v>8</v>
      </c>
      <c r="L144" s="64">
        <v>8</v>
      </c>
      <c r="M144" s="64">
        <v>8</v>
      </c>
      <c r="N144" s="72"/>
      <c r="O144" s="72"/>
      <c r="P144" s="28"/>
      <c r="Q144" s="28"/>
      <c r="R144" s="56"/>
    </row>
    <row r="145" spans="1:18" x14ac:dyDescent="0.25">
      <c r="A145" s="65" t="s">
        <v>139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72"/>
      <c r="O145" s="72"/>
      <c r="P145" s="28"/>
      <c r="Q145" s="28"/>
      <c r="R145" s="56"/>
    </row>
    <row r="146" spans="1:18" x14ac:dyDescent="0.25">
      <c r="A146" s="65" t="s">
        <v>140</v>
      </c>
      <c r="B146" s="90">
        <f>SUM(B147:B151)</f>
        <v>23</v>
      </c>
      <c r="C146" s="90">
        <f t="shared" ref="C146:M146" si="27">SUM(C147:C151)</f>
        <v>23</v>
      </c>
      <c r="D146" s="90">
        <f t="shared" si="27"/>
        <v>23</v>
      </c>
      <c r="E146" s="90">
        <f t="shared" si="27"/>
        <v>23</v>
      </c>
      <c r="F146" s="90">
        <f t="shared" si="27"/>
        <v>23</v>
      </c>
      <c r="G146" s="90">
        <f t="shared" si="27"/>
        <v>23</v>
      </c>
      <c r="H146" s="90">
        <f t="shared" si="27"/>
        <v>23</v>
      </c>
      <c r="I146" s="90">
        <f t="shared" si="27"/>
        <v>23</v>
      </c>
      <c r="J146" s="90">
        <f t="shared" si="27"/>
        <v>23</v>
      </c>
      <c r="K146" s="90">
        <f t="shared" si="27"/>
        <v>23</v>
      </c>
      <c r="L146" s="90">
        <f t="shared" si="27"/>
        <v>23</v>
      </c>
      <c r="M146" s="90">
        <f t="shared" si="27"/>
        <v>23</v>
      </c>
      <c r="N146" s="72"/>
      <c r="O146" s="72"/>
      <c r="P146" s="28"/>
      <c r="Q146" s="28"/>
      <c r="R146" s="56"/>
    </row>
    <row r="147" spans="1:18" x14ac:dyDescent="0.25">
      <c r="A147" s="65" t="s">
        <v>141</v>
      </c>
      <c r="B147" s="64">
        <v>16</v>
      </c>
      <c r="C147" s="64">
        <v>16</v>
      </c>
      <c r="D147" s="64">
        <v>16</v>
      </c>
      <c r="E147" s="64">
        <v>16</v>
      </c>
      <c r="F147" s="64">
        <v>15</v>
      </c>
      <c r="G147" s="64">
        <v>15</v>
      </c>
      <c r="H147" s="64">
        <v>15</v>
      </c>
      <c r="I147" s="64">
        <v>15</v>
      </c>
      <c r="J147" s="64">
        <v>15</v>
      </c>
      <c r="K147" s="64">
        <v>15</v>
      </c>
      <c r="L147" s="64">
        <v>15</v>
      </c>
      <c r="M147" s="64">
        <v>15</v>
      </c>
      <c r="N147" s="72"/>
      <c r="O147" s="72"/>
      <c r="P147" s="28"/>
      <c r="Q147" s="28"/>
      <c r="R147" s="56"/>
    </row>
    <row r="148" spans="1:18" x14ac:dyDescent="0.25">
      <c r="A148" s="65" t="s">
        <v>142</v>
      </c>
      <c r="B148" s="64">
        <v>1</v>
      </c>
      <c r="C148" s="64">
        <v>1</v>
      </c>
      <c r="D148" s="64">
        <v>1</v>
      </c>
      <c r="E148" s="64">
        <v>1</v>
      </c>
      <c r="F148" s="64">
        <v>1</v>
      </c>
      <c r="G148" s="64">
        <v>1</v>
      </c>
      <c r="H148" s="64">
        <v>1</v>
      </c>
      <c r="I148" s="64">
        <v>1</v>
      </c>
      <c r="J148" s="64">
        <v>1</v>
      </c>
      <c r="K148" s="64">
        <v>1</v>
      </c>
      <c r="L148" s="64">
        <v>1</v>
      </c>
      <c r="M148" s="64">
        <v>1</v>
      </c>
      <c r="N148" s="72"/>
      <c r="O148" s="72"/>
      <c r="P148" s="28"/>
      <c r="Q148" s="28"/>
      <c r="R148" s="56"/>
    </row>
    <row r="149" spans="1:18" x14ac:dyDescent="0.25">
      <c r="A149" s="65" t="s">
        <v>143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72"/>
      <c r="O149" s="72"/>
      <c r="P149" s="28"/>
      <c r="Q149" s="28"/>
      <c r="R149" s="56"/>
    </row>
    <row r="150" spans="1:18" x14ac:dyDescent="0.25">
      <c r="A150" s="65" t="s">
        <v>144</v>
      </c>
      <c r="B150" s="59">
        <v>0</v>
      </c>
      <c r="C150" s="59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72"/>
      <c r="O150" s="72"/>
      <c r="P150" s="28"/>
      <c r="Q150" s="28"/>
      <c r="R150" s="56"/>
    </row>
    <row r="151" spans="1:18" x14ac:dyDescent="0.25">
      <c r="A151" s="65" t="s">
        <v>145</v>
      </c>
      <c r="B151" s="64">
        <v>6</v>
      </c>
      <c r="C151" s="64">
        <v>6</v>
      </c>
      <c r="D151" s="64">
        <v>6</v>
      </c>
      <c r="E151" s="64">
        <v>6</v>
      </c>
      <c r="F151" s="64">
        <v>7</v>
      </c>
      <c r="G151" s="64">
        <v>7</v>
      </c>
      <c r="H151" s="64">
        <v>7</v>
      </c>
      <c r="I151" s="64">
        <v>7</v>
      </c>
      <c r="J151" s="64">
        <v>7</v>
      </c>
      <c r="K151" s="64">
        <v>7</v>
      </c>
      <c r="L151" s="64">
        <v>7</v>
      </c>
      <c r="M151" s="64">
        <v>7</v>
      </c>
      <c r="N151" s="72"/>
      <c r="O151" s="72"/>
      <c r="P151" s="28"/>
      <c r="Q151" s="28"/>
      <c r="R151" s="56"/>
    </row>
    <row r="152" spans="1:18" x14ac:dyDescent="0.25">
      <c r="A152" s="65" t="s">
        <v>146</v>
      </c>
      <c r="B152" s="91">
        <f t="shared" ref="B152:M152" si="28">+B171/B138</f>
        <v>0.73241061130334484</v>
      </c>
      <c r="C152" s="91">
        <f t="shared" si="28"/>
        <v>0.56516724336793545</v>
      </c>
      <c r="D152" s="91">
        <f t="shared" si="28"/>
        <v>0.74106113033448673</v>
      </c>
      <c r="E152" s="91">
        <f t="shared" si="28"/>
        <v>0.43540945790080737</v>
      </c>
      <c r="F152" s="91">
        <f t="shared" si="28"/>
        <v>0.45847750865051901</v>
      </c>
      <c r="G152" s="91">
        <f t="shared" si="28"/>
        <v>0.74106113033448673</v>
      </c>
      <c r="H152" s="91">
        <f t="shared" si="28"/>
        <v>1.0409457900807382</v>
      </c>
      <c r="I152" s="91">
        <f t="shared" si="28"/>
        <v>1.0813148788927336</v>
      </c>
      <c r="J152" s="91">
        <f t="shared" si="28"/>
        <v>0.84486735870818908</v>
      </c>
      <c r="K152" s="91">
        <f t="shared" si="28"/>
        <v>0.89388696655132638</v>
      </c>
      <c r="L152" s="91">
        <f t="shared" si="28"/>
        <v>0.75547866205305647</v>
      </c>
      <c r="M152" s="91">
        <f t="shared" si="28"/>
        <v>0.85351787773933097</v>
      </c>
      <c r="N152" s="72"/>
      <c r="O152" s="72"/>
      <c r="P152" s="28"/>
      <c r="Q152" s="28"/>
      <c r="R152" s="56"/>
    </row>
    <row r="153" spans="1:18" x14ac:dyDescent="0.25">
      <c r="A153" s="65"/>
      <c r="B153" s="72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56"/>
    </row>
    <row r="154" spans="1:18" x14ac:dyDescent="0.25">
      <c r="A154" s="71" t="s">
        <v>147</v>
      </c>
      <c r="B154" s="72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56"/>
    </row>
    <row r="155" spans="1:18" ht="15.75" x14ac:dyDescent="0.25">
      <c r="A155" s="31" t="s">
        <v>148</v>
      </c>
      <c r="B155" s="63">
        <f>+B156+B159+B162+B165</f>
        <v>179</v>
      </c>
      <c r="C155" s="63">
        <f t="shared" ref="C155:M155" si="29">+C156+C159+C162+C165</f>
        <v>179</v>
      </c>
      <c r="D155" s="63">
        <f t="shared" si="29"/>
        <v>178</v>
      </c>
      <c r="E155" s="63">
        <f t="shared" si="29"/>
        <v>178</v>
      </c>
      <c r="F155" s="63">
        <f t="shared" si="29"/>
        <v>179</v>
      </c>
      <c r="G155" s="63">
        <f t="shared" si="29"/>
        <v>180</v>
      </c>
      <c r="H155" s="63">
        <f t="shared" si="29"/>
        <v>179</v>
      </c>
      <c r="I155" s="63">
        <f t="shared" si="29"/>
        <v>179</v>
      </c>
      <c r="J155" s="63">
        <f t="shared" si="29"/>
        <v>179</v>
      </c>
      <c r="K155" s="63">
        <f t="shared" si="29"/>
        <v>177</v>
      </c>
      <c r="L155" s="63">
        <f t="shared" si="29"/>
        <v>176</v>
      </c>
      <c r="M155" s="63">
        <f t="shared" si="29"/>
        <v>176</v>
      </c>
      <c r="N155" s="73"/>
      <c r="O155" s="73"/>
      <c r="P155" s="61"/>
      <c r="Q155" s="61"/>
      <c r="R155" s="62"/>
    </row>
    <row r="156" spans="1:18" x14ac:dyDescent="0.25">
      <c r="A156" s="24" t="s">
        <v>149</v>
      </c>
      <c r="B156" s="90">
        <f>B157+B158</f>
        <v>26</v>
      </c>
      <c r="C156" s="90">
        <f t="shared" ref="C156:M156" si="30">C157+C158</f>
        <v>23</v>
      </c>
      <c r="D156" s="90">
        <f t="shared" si="30"/>
        <v>22</v>
      </c>
      <c r="E156" s="90">
        <f t="shared" si="30"/>
        <v>23</v>
      </c>
      <c r="F156" s="90">
        <f t="shared" si="30"/>
        <v>24</v>
      </c>
      <c r="G156" s="90">
        <f t="shared" si="30"/>
        <v>24</v>
      </c>
      <c r="H156" s="90">
        <f t="shared" si="30"/>
        <v>24</v>
      </c>
      <c r="I156" s="90">
        <f t="shared" si="30"/>
        <v>24</v>
      </c>
      <c r="J156" s="90">
        <f t="shared" si="30"/>
        <v>24</v>
      </c>
      <c r="K156" s="90">
        <f t="shared" si="30"/>
        <v>24</v>
      </c>
      <c r="L156" s="90">
        <f t="shared" si="30"/>
        <v>24</v>
      </c>
      <c r="M156" s="90">
        <f t="shared" si="30"/>
        <v>24</v>
      </c>
      <c r="N156" s="72"/>
      <c r="O156" s="72"/>
      <c r="P156" s="28"/>
      <c r="Q156" s="28"/>
      <c r="R156" s="56"/>
    </row>
    <row r="157" spans="1:18" x14ac:dyDescent="0.25">
      <c r="A157" s="24" t="s">
        <v>150</v>
      </c>
      <c r="B157" s="64">
        <v>26</v>
      </c>
      <c r="C157" s="64">
        <v>23</v>
      </c>
      <c r="D157" s="64">
        <v>22</v>
      </c>
      <c r="E157" s="64">
        <v>23</v>
      </c>
      <c r="F157" s="64">
        <v>24</v>
      </c>
      <c r="G157" s="64">
        <v>24</v>
      </c>
      <c r="H157" s="64">
        <v>24</v>
      </c>
      <c r="I157" s="64">
        <v>24</v>
      </c>
      <c r="J157" s="64">
        <v>24</v>
      </c>
      <c r="K157" s="64">
        <v>24</v>
      </c>
      <c r="L157" s="64">
        <v>24</v>
      </c>
      <c r="M157" s="64">
        <v>24</v>
      </c>
      <c r="N157" s="72"/>
      <c r="O157" s="72"/>
      <c r="P157" s="28"/>
      <c r="Q157" s="28"/>
      <c r="R157" s="56"/>
    </row>
    <row r="158" spans="1:18" x14ac:dyDescent="0.25">
      <c r="A158" s="24" t="s">
        <v>151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92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72"/>
      <c r="O158" s="72"/>
      <c r="P158" s="28"/>
      <c r="Q158" s="28"/>
      <c r="R158" s="56"/>
    </row>
    <row r="159" spans="1:18" x14ac:dyDescent="0.25">
      <c r="A159" s="24" t="s">
        <v>152</v>
      </c>
      <c r="B159" s="90">
        <f>B160+B161</f>
        <v>42</v>
      </c>
      <c r="C159" s="90">
        <f t="shared" ref="C159:M159" si="31">C160+C161</f>
        <v>42</v>
      </c>
      <c r="D159" s="90">
        <f t="shared" si="31"/>
        <v>42</v>
      </c>
      <c r="E159" s="90">
        <f t="shared" si="31"/>
        <v>42</v>
      </c>
      <c r="F159" s="90">
        <f t="shared" si="31"/>
        <v>42</v>
      </c>
      <c r="G159" s="90">
        <f t="shared" si="31"/>
        <v>43</v>
      </c>
      <c r="H159" s="90">
        <f t="shared" si="31"/>
        <v>43</v>
      </c>
      <c r="I159" s="90">
        <f t="shared" si="31"/>
        <v>43</v>
      </c>
      <c r="J159" s="90">
        <f t="shared" si="31"/>
        <v>44</v>
      </c>
      <c r="K159" s="90">
        <f t="shared" si="31"/>
        <v>44</v>
      </c>
      <c r="L159" s="90">
        <f t="shared" si="31"/>
        <v>44</v>
      </c>
      <c r="M159" s="90">
        <f t="shared" si="31"/>
        <v>43</v>
      </c>
      <c r="N159" s="72"/>
      <c r="O159" s="72"/>
      <c r="P159" s="28"/>
      <c r="Q159" s="28"/>
      <c r="R159" s="56"/>
    </row>
    <row r="160" spans="1:18" x14ac:dyDescent="0.25">
      <c r="A160" s="24" t="s">
        <v>150</v>
      </c>
      <c r="B160" s="64">
        <v>16</v>
      </c>
      <c r="C160" s="64">
        <v>18</v>
      </c>
      <c r="D160" s="64">
        <v>18</v>
      </c>
      <c r="E160" s="64">
        <v>18</v>
      </c>
      <c r="F160" s="64">
        <v>18</v>
      </c>
      <c r="G160" s="64">
        <v>18</v>
      </c>
      <c r="H160" s="64">
        <v>18</v>
      </c>
      <c r="I160" s="64">
        <v>18</v>
      </c>
      <c r="J160" s="64">
        <v>18</v>
      </c>
      <c r="K160" s="64">
        <v>18</v>
      </c>
      <c r="L160" s="64">
        <v>18</v>
      </c>
      <c r="M160" s="64">
        <v>17</v>
      </c>
      <c r="N160" s="72"/>
      <c r="O160" s="72"/>
      <c r="P160" s="28"/>
      <c r="Q160" s="28"/>
      <c r="R160" s="56"/>
    </row>
    <row r="161" spans="1:18" x14ac:dyDescent="0.25">
      <c r="A161" s="24" t="s">
        <v>151</v>
      </c>
      <c r="B161" s="64">
        <v>26</v>
      </c>
      <c r="C161" s="64">
        <v>24</v>
      </c>
      <c r="D161" s="64">
        <v>24</v>
      </c>
      <c r="E161" s="64">
        <v>24</v>
      </c>
      <c r="F161" s="64">
        <v>24</v>
      </c>
      <c r="G161" s="64">
        <v>25</v>
      </c>
      <c r="H161" s="64">
        <v>25</v>
      </c>
      <c r="I161" s="64">
        <v>25</v>
      </c>
      <c r="J161" s="64">
        <v>26</v>
      </c>
      <c r="K161" s="64">
        <v>26</v>
      </c>
      <c r="L161" s="64">
        <v>26</v>
      </c>
      <c r="M161" s="64">
        <v>26</v>
      </c>
      <c r="N161" s="72"/>
      <c r="O161" s="72"/>
      <c r="P161" s="28"/>
      <c r="Q161" s="28"/>
      <c r="R161" s="56"/>
    </row>
    <row r="162" spans="1:18" x14ac:dyDescent="0.25">
      <c r="A162" s="24" t="s">
        <v>153</v>
      </c>
      <c r="B162" s="90">
        <f>B163+B164</f>
        <v>111</v>
      </c>
      <c r="C162" s="90">
        <f t="shared" ref="C162:M162" si="32">C163+C164</f>
        <v>114</v>
      </c>
      <c r="D162" s="90">
        <f t="shared" si="32"/>
        <v>114</v>
      </c>
      <c r="E162" s="90">
        <f t="shared" si="32"/>
        <v>113</v>
      </c>
      <c r="F162" s="90">
        <f t="shared" si="32"/>
        <v>113</v>
      </c>
      <c r="G162" s="90">
        <f t="shared" si="32"/>
        <v>113</v>
      </c>
      <c r="H162" s="90">
        <f t="shared" si="32"/>
        <v>112</v>
      </c>
      <c r="I162" s="90">
        <f t="shared" si="32"/>
        <v>112</v>
      </c>
      <c r="J162" s="90">
        <f t="shared" si="32"/>
        <v>111</v>
      </c>
      <c r="K162" s="90">
        <f t="shared" si="32"/>
        <v>109</v>
      </c>
      <c r="L162" s="90">
        <f t="shared" si="32"/>
        <v>108</v>
      </c>
      <c r="M162" s="90">
        <f t="shared" si="32"/>
        <v>109</v>
      </c>
      <c r="N162" s="72"/>
      <c r="O162" s="72"/>
      <c r="P162" s="28"/>
      <c r="Q162" s="28"/>
      <c r="R162" s="56"/>
    </row>
    <row r="163" spans="1:18" x14ac:dyDescent="0.25">
      <c r="A163" s="24" t="s">
        <v>150</v>
      </c>
      <c r="B163" s="64">
        <v>26</v>
      </c>
      <c r="C163" s="64">
        <v>27</v>
      </c>
      <c r="D163" s="64">
        <v>27</v>
      </c>
      <c r="E163" s="64">
        <v>26</v>
      </c>
      <c r="F163" s="64">
        <v>26</v>
      </c>
      <c r="G163" s="64">
        <v>27</v>
      </c>
      <c r="H163" s="64">
        <v>26</v>
      </c>
      <c r="I163" s="64">
        <v>26</v>
      </c>
      <c r="J163" s="64">
        <v>25</v>
      </c>
      <c r="K163" s="64">
        <v>23</v>
      </c>
      <c r="L163" s="64">
        <v>23</v>
      </c>
      <c r="M163" s="64">
        <v>23</v>
      </c>
      <c r="N163" s="72"/>
      <c r="O163" s="72"/>
      <c r="P163" s="28"/>
      <c r="Q163" s="28"/>
      <c r="R163" s="56"/>
    </row>
    <row r="164" spans="1:18" x14ac:dyDescent="0.25">
      <c r="A164" s="24" t="s">
        <v>151</v>
      </c>
      <c r="B164" s="64">
        <v>85</v>
      </c>
      <c r="C164" s="64">
        <v>87</v>
      </c>
      <c r="D164" s="64">
        <v>87</v>
      </c>
      <c r="E164" s="64">
        <v>87</v>
      </c>
      <c r="F164" s="64">
        <v>87</v>
      </c>
      <c r="G164" s="64">
        <v>86</v>
      </c>
      <c r="H164" s="64">
        <v>86</v>
      </c>
      <c r="I164" s="64">
        <v>86</v>
      </c>
      <c r="J164" s="64">
        <v>86</v>
      </c>
      <c r="K164" s="64">
        <v>86</v>
      </c>
      <c r="L164" s="64">
        <v>85</v>
      </c>
      <c r="M164" s="64">
        <v>86</v>
      </c>
      <c r="N164" s="72"/>
      <c r="O164" s="72"/>
      <c r="P164" s="28"/>
      <c r="Q164" s="28"/>
      <c r="R164" s="56"/>
    </row>
    <row r="165" spans="1:18" x14ac:dyDescent="0.25">
      <c r="A165" s="24" t="s">
        <v>154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72"/>
      <c r="O165" s="72"/>
      <c r="P165" s="28"/>
      <c r="Q165" s="28"/>
      <c r="R165" s="56"/>
    </row>
    <row r="166" spans="1:18" x14ac:dyDescent="0.25">
      <c r="A166" s="27" t="s">
        <v>155</v>
      </c>
      <c r="B166" s="90">
        <f>B167+B168</f>
        <v>47</v>
      </c>
      <c r="C166" s="90">
        <f t="shared" ref="C166:M166" si="33">C167+C168</f>
        <v>47</v>
      </c>
      <c r="D166" s="90">
        <f t="shared" si="33"/>
        <v>47</v>
      </c>
      <c r="E166" s="90">
        <f t="shared" si="33"/>
        <v>47</v>
      </c>
      <c r="F166" s="90">
        <f t="shared" si="33"/>
        <v>47</v>
      </c>
      <c r="G166" s="90">
        <f t="shared" si="33"/>
        <v>49</v>
      </c>
      <c r="H166" s="90">
        <f t="shared" si="33"/>
        <v>49</v>
      </c>
      <c r="I166" s="90">
        <f t="shared" si="33"/>
        <v>49</v>
      </c>
      <c r="J166" s="90">
        <f t="shared" si="33"/>
        <v>49</v>
      </c>
      <c r="K166" s="90">
        <f t="shared" si="33"/>
        <v>50</v>
      </c>
      <c r="L166" s="90">
        <f t="shared" si="33"/>
        <v>50</v>
      </c>
      <c r="M166" s="90">
        <f t="shared" si="33"/>
        <v>50</v>
      </c>
      <c r="N166" s="72"/>
      <c r="O166" s="72"/>
      <c r="P166" s="28"/>
      <c r="Q166" s="28"/>
      <c r="R166" s="56"/>
    </row>
    <row r="167" spans="1:18" x14ac:dyDescent="0.25">
      <c r="A167" s="24" t="s">
        <v>150</v>
      </c>
      <c r="B167" s="64">
        <v>4</v>
      </c>
      <c r="C167" s="64">
        <v>4</v>
      </c>
      <c r="D167" s="64">
        <v>4</v>
      </c>
      <c r="E167" s="64">
        <v>4</v>
      </c>
      <c r="F167" s="64">
        <v>4</v>
      </c>
      <c r="G167" s="64">
        <v>5</v>
      </c>
      <c r="H167" s="64">
        <v>5</v>
      </c>
      <c r="I167" s="64">
        <v>5</v>
      </c>
      <c r="J167" s="64">
        <v>5</v>
      </c>
      <c r="K167" s="64">
        <v>6</v>
      </c>
      <c r="L167" s="64">
        <v>6</v>
      </c>
      <c r="M167" s="64">
        <v>6</v>
      </c>
      <c r="N167" s="72"/>
      <c r="O167" s="72"/>
      <c r="P167" s="28"/>
      <c r="Q167" s="28"/>
      <c r="R167" s="56"/>
    </row>
    <row r="168" spans="1:18" x14ac:dyDescent="0.25">
      <c r="A168" s="24" t="s">
        <v>151</v>
      </c>
      <c r="B168" s="64">
        <v>43</v>
      </c>
      <c r="C168" s="64">
        <v>43</v>
      </c>
      <c r="D168" s="64">
        <v>43</v>
      </c>
      <c r="E168" s="64">
        <v>43</v>
      </c>
      <c r="F168" s="64">
        <v>43</v>
      </c>
      <c r="G168" s="64">
        <v>44</v>
      </c>
      <c r="H168" s="64">
        <v>44</v>
      </c>
      <c r="I168" s="64">
        <v>44</v>
      </c>
      <c r="J168" s="64">
        <v>44</v>
      </c>
      <c r="K168" s="64">
        <v>44</v>
      </c>
      <c r="L168" s="64">
        <v>44</v>
      </c>
      <c r="M168" s="64">
        <v>44</v>
      </c>
      <c r="N168" s="72"/>
      <c r="O168" s="72"/>
      <c r="P168" s="28"/>
      <c r="Q168" s="28"/>
      <c r="R168" s="56"/>
    </row>
    <row r="169" spans="1:18" ht="6" customHeight="1" x14ac:dyDescent="0.25">
      <c r="A169" s="65"/>
      <c r="B169" s="59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72"/>
      <c r="O169" s="72"/>
      <c r="P169" s="28"/>
      <c r="Q169" s="28"/>
      <c r="R169" s="56"/>
    </row>
    <row r="170" spans="1:18" x14ac:dyDescent="0.25">
      <c r="A170" s="65" t="s">
        <v>156</v>
      </c>
      <c r="B170" s="64">
        <v>15</v>
      </c>
      <c r="C170" s="64">
        <v>15</v>
      </c>
      <c r="D170" s="64">
        <v>15</v>
      </c>
      <c r="E170" s="64">
        <v>15</v>
      </c>
      <c r="F170" s="64">
        <v>15</v>
      </c>
      <c r="G170" s="64">
        <v>15</v>
      </c>
      <c r="H170" s="64">
        <v>15</v>
      </c>
      <c r="I170" s="64">
        <v>15</v>
      </c>
      <c r="J170" s="64">
        <v>15</v>
      </c>
      <c r="K170" s="64">
        <v>15</v>
      </c>
      <c r="L170" s="64">
        <v>15</v>
      </c>
      <c r="M170" s="64">
        <v>15</v>
      </c>
      <c r="N170" s="72"/>
      <c r="O170" s="72"/>
      <c r="P170" s="28"/>
      <c r="Q170" s="28"/>
      <c r="R170" s="56"/>
    </row>
    <row r="171" spans="1:18" x14ac:dyDescent="0.25">
      <c r="A171" s="65" t="s">
        <v>157</v>
      </c>
      <c r="B171" s="64">
        <v>254</v>
      </c>
      <c r="C171" s="64">
        <v>196</v>
      </c>
      <c r="D171" s="64">
        <v>257</v>
      </c>
      <c r="E171" s="64">
        <f>113+38</f>
        <v>151</v>
      </c>
      <c r="F171" s="64">
        <v>159</v>
      </c>
      <c r="G171" s="64">
        <f>131+126</f>
        <v>257</v>
      </c>
      <c r="H171" s="64">
        <f>204+157</f>
        <v>361</v>
      </c>
      <c r="I171" s="64">
        <f>195+180</f>
        <v>375</v>
      </c>
      <c r="J171" s="64">
        <f>151+142</f>
        <v>293</v>
      </c>
      <c r="K171" s="64">
        <f>163+147</f>
        <v>310</v>
      </c>
      <c r="L171" s="64">
        <f>115+147</f>
        <v>262</v>
      </c>
      <c r="M171" s="64">
        <f>147+149</f>
        <v>296</v>
      </c>
      <c r="N171" s="72"/>
      <c r="O171" s="72"/>
      <c r="P171" s="28"/>
      <c r="Q171" s="28"/>
      <c r="R171" s="56"/>
    </row>
    <row r="172" spans="1:18" x14ac:dyDescent="0.25">
      <c r="A172" s="65" t="s">
        <v>158</v>
      </c>
      <c r="B172" s="64">
        <v>222</v>
      </c>
      <c r="C172" s="64">
        <v>143</v>
      </c>
      <c r="D172" s="64">
        <v>210</v>
      </c>
      <c r="E172" s="64">
        <f>89+33</f>
        <v>122</v>
      </c>
      <c r="F172" s="64">
        <v>137</v>
      </c>
      <c r="G172" s="64">
        <f>86+126</f>
        <v>212</v>
      </c>
      <c r="H172" s="64">
        <f>185+157</f>
        <v>342</v>
      </c>
      <c r="I172" s="64">
        <f>87+92</f>
        <v>179</v>
      </c>
      <c r="J172" s="64">
        <f>151+121</f>
        <v>272</v>
      </c>
      <c r="K172" s="64">
        <f>34+132</f>
        <v>166</v>
      </c>
      <c r="L172" s="64">
        <f>70+147</f>
        <v>217</v>
      </c>
      <c r="M172" s="64">
        <f>147+111</f>
        <v>258</v>
      </c>
      <c r="N172" s="72"/>
      <c r="O172" s="72"/>
      <c r="P172" s="28"/>
      <c r="Q172" s="28"/>
      <c r="R172" s="56"/>
    </row>
    <row r="173" spans="1:18" x14ac:dyDescent="0.25">
      <c r="A173" s="65" t="s">
        <v>159</v>
      </c>
      <c r="B173" s="64"/>
      <c r="C173" s="64"/>
      <c r="D173" s="64">
        <v>2131</v>
      </c>
      <c r="E173" s="64">
        <v>2151</v>
      </c>
      <c r="F173" s="64">
        <v>2164</v>
      </c>
      <c r="G173" s="64">
        <v>2248</v>
      </c>
      <c r="H173" s="64">
        <v>2042</v>
      </c>
      <c r="I173" s="64">
        <v>1898</v>
      </c>
      <c r="J173" s="64">
        <v>1746</v>
      </c>
      <c r="K173" s="64">
        <v>1882</v>
      </c>
      <c r="L173" s="64">
        <v>1787</v>
      </c>
      <c r="M173" s="64">
        <v>2262</v>
      </c>
      <c r="N173" s="72"/>
      <c r="O173" s="72"/>
      <c r="P173" s="28"/>
      <c r="Q173" s="28"/>
      <c r="R173" s="56"/>
    </row>
    <row r="174" spans="1:18" x14ac:dyDescent="0.25">
      <c r="A174" s="65" t="s">
        <v>160</v>
      </c>
      <c r="B174" s="64">
        <v>1101</v>
      </c>
      <c r="C174" s="64">
        <v>510</v>
      </c>
      <c r="D174" s="64">
        <v>717</v>
      </c>
      <c r="E174" s="64">
        <v>1083</v>
      </c>
      <c r="F174" s="64">
        <v>1017</v>
      </c>
      <c r="G174" s="64">
        <v>1216</v>
      </c>
      <c r="H174" s="64">
        <v>1091</v>
      </c>
      <c r="I174" s="64">
        <v>981</v>
      </c>
      <c r="J174" s="64">
        <v>824</v>
      </c>
      <c r="K174" s="64">
        <v>2044</v>
      </c>
      <c r="L174" s="64">
        <v>1461</v>
      </c>
      <c r="M174" s="64">
        <v>1601</v>
      </c>
      <c r="N174" s="72"/>
      <c r="O174" s="72"/>
      <c r="P174" s="28"/>
      <c r="Q174" s="28"/>
      <c r="R174" s="56"/>
    </row>
    <row r="175" spans="1:18" x14ac:dyDescent="0.25">
      <c r="A175" s="65" t="s">
        <v>161</v>
      </c>
      <c r="B175" s="64">
        <v>1101</v>
      </c>
      <c r="C175" s="64">
        <v>510</v>
      </c>
      <c r="D175" s="64">
        <v>717</v>
      </c>
      <c r="E175" s="64">
        <v>1083</v>
      </c>
      <c r="F175" s="64">
        <v>1017</v>
      </c>
      <c r="G175" s="64">
        <v>1216</v>
      </c>
      <c r="H175" s="64">
        <v>1091</v>
      </c>
      <c r="I175" s="64">
        <v>981</v>
      </c>
      <c r="J175" s="64">
        <v>824</v>
      </c>
      <c r="K175" s="64">
        <v>2044</v>
      </c>
      <c r="L175" s="64">
        <v>1461</v>
      </c>
      <c r="M175" s="64">
        <v>1601</v>
      </c>
      <c r="N175" s="72"/>
      <c r="O175" s="72"/>
      <c r="P175" s="28"/>
      <c r="Q175" s="28"/>
      <c r="R175" s="56"/>
    </row>
    <row r="176" spans="1:18" x14ac:dyDescent="0.25">
      <c r="A176" s="65" t="s">
        <v>162</v>
      </c>
      <c r="B176" s="64"/>
      <c r="C176" s="64"/>
      <c r="D176" s="64"/>
      <c r="E176" s="64"/>
      <c r="F176" s="64"/>
      <c r="G176" s="64">
        <v>1135</v>
      </c>
      <c r="H176" s="64">
        <f>H86*7%</f>
        <v>2777.32</v>
      </c>
      <c r="I176" s="64">
        <v>2779.21</v>
      </c>
      <c r="J176" s="64">
        <v>2781</v>
      </c>
      <c r="K176" s="64">
        <v>2782</v>
      </c>
      <c r="L176" s="64">
        <v>2783</v>
      </c>
      <c r="M176" s="64">
        <v>2784</v>
      </c>
      <c r="N176" s="72"/>
      <c r="O176" s="72"/>
      <c r="P176" s="28"/>
      <c r="Q176" s="28"/>
      <c r="R176" s="56"/>
    </row>
    <row r="177" spans="1:18" x14ac:dyDescent="0.25">
      <c r="A177" s="93" t="s">
        <v>163</v>
      </c>
      <c r="B177" s="94"/>
      <c r="C177" s="94"/>
      <c r="D177" s="94"/>
      <c r="E177" s="94"/>
      <c r="F177" s="94"/>
      <c r="G177" s="94">
        <v>36474</v>
      </c>
      <c r="H177" s="94">
        <f>H86-H176</f>
        <v>36898.68</v>
      </c>
      <c r="I177" s="94">
        <v>36924</v>
      </c>
      <c r="J177" s="94">
        <v>36950</v>
      </c>
      <c r="K177" s="94">
        <v>36962</v>
      </c>
      <c r="L177" s="94">
        <v>36975</v>
      </c>
      <c r="M177" s="94">
        <v>36987</v>
      </c>
      <c r="N177" s="95"/>
      <c r="O177" s="95"/>
      <c r="P177" s="96"/>
      <c r="Q177" s="96"/>
      <c r="R177" s="97"/>
    </row>
    <row r="179" spans="1:18" x14ac:dyDescent="0.25">
      <c r="A179" s="2" t="s">
        <v>164</v>
      </c>
    </row>
    <row r="185" spans="1:18" ht="15.75" x14ac:dyDescent="0.25">
      <c r="A185" s="98" t="s">
        <v>165</v>
      </c>
      <c r="B185" s="99"/>
      <c r="C185" s="99"/>
      <c r="D185" s="100" t="s">
        <v>166</v>
      </c>
      <c r="E185" s="100"/>
      <c r="F185" s="100"/>
    </row>
    <row r="186" spans="1:18" ht="15.75" x14ac:dyDescent="0.25">
      <c r="A186" s="101" t="s">
        <v>167</v>
      </c>
      <c r="B186" s="99"/>
      <c r="C186" s="99"/>
      <c r="D186" s="100" t="s">
        <v>168</v>
      </c>
      <c r="E186" s="100"/>
      <c r="F186" s="100"/>
    </row>
    <row r="187" spans="1:18" ht="15.75" x14ac:dyDescent="0.25">
      <c r="A187" s="99"/>
      <c r="B187" s="99"/>
      <c r="C187" s="99"/>
      <c r="D187" s="99"/>
      <c r="E187" s="99"/>
      <c r="F187" s="99"/>
    </row>
    <row r="188" spans="1:18" x14ac:dyDescent="0.25">
      <c r="Q188" s="102"/>
      <c r="R188" s="102"/>
    </row>
  </sheetData>
  <sheetProtection selectLockedCells="1"/>
  <mergeCells count="6">
    <mergeCell ref="A1:R1"/>
    <mergeCell ref="A3:R3"/>
    <mergeCell ref="A4:R4"/>
    <mergeCell ref="A6:R6"/>
    <mergeCell ref="D185:F185"/>
    <mergeCell ref="D186:F186"/>
  </mergeCells>
  <pageMargins left="0.78740157480314965" right="3.937007874015748E-2" top="0.35433070866141736" bottom="0.74803149606299213" header="0.31496062992125984" footer="0.31496062992125984"/>
  <pageSetup scale="3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PIGOO 2023</vt:lpstr>
      <vt:lpstr>'PIGOO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ALMACEN</cp:lastModifiedBy>
  <cp:lastPrinted>2024-01-29T17:22:27Z</cp:lastPrinted>
  <dcterms:created xsi:type="dcterms:W3CDTF">2024-01-29T17:21:03Z</dcterms:created>
  <dcterms:modified xsi:type="dcterms:W3CDTF">2024-01-29T17:27:29Z</dcterms:modified>
</cp:coreProperties>
</file>